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hidePivotFieldList="1" defaultThemeVersion="166925"/>
  <mc:AlternateContent xmlns:mc="http://schemas.openxmlformats.org/markup-compatibility/2006">
    <mc:Choice Requires="x15">
      <x15ac:absPath xmlns:x15ac="http://schemas.microsoft.com/office/spreadsheetml/2010/11/ac" url="https://ehssupport.sharepoint.com/sites/storage/DepEnMn/Projects/PTY.06614 - Hydrogen and Renewable Energy Act Financial Assurance Calculator/3. Delivered/"/>
    </mc:Choice>
  </mc:AlternateContent>
  <xr:revisionPtr revIDLastSave="0" documentId="8_{601530C2-17E6-4E2C-82F5-F4889D1B542C}" xr6:coauthVersionLast="47" xr6:coauthVersionMax="47" xr10:uidLastSave="{00000000-0000-0000-0000-000000000000}"/>
  <workbookProtection workbookAlgorithmName="SHA-512" workbookHashValue="UaG4pPNJjoSktHH7jjdsoOeRovt1m58q0jfLAs1TpAFw8O+r/gKRN6R2ogAltKLtb5iIuic+E5U8a+tntqZxrQ==" workbookSaltValue="nCSJEcrvkqhwNso0pXKj3w==" workbookSpinCount="100000" lockStructure="1"/>
  <bookViews>
    <workbookView xWindow="-110" yWindow="-110" windowWidth="19420" windowHeight="10300" activeTab="2" xr2:uid="{6187A976-CE94-4A94-9CC2-0F4AE7505A03}"/>
  </bookViews>
  <sheets>
    <sheet name="Information" sheetId="2" r:id="rId1"/>
    <sheet name="User Guide" sheetId="19" r:id="rId2"/>
    <sheet name="Summary" sheetId="8" r:id="rId3"/>
    <sheet name="Solar" sheetId="3" r:id="rId4"/>
    <sheet name="Wind" sheetId="13" r:id="rId5"/>
    <sheet name="BESS" sheetId="24" r:id="rId6"/>
    <sheet name="Green Hydrogen" sheetId="20" r:id="rId7"/>
    <sheet name="Cost Schedule" sheetId="12" r:id="rId8"/>
    <sheet name="Rates" sheetId="4" r:id="rId9"/>
    <sheet name="Productivity" sheetId="5" r:id="rId10"/>
    <sheet name="Assumptions" sheetId="7" r:id="rId11"/>
    <sheet name="Panels" sheetId="9" r:id="rId12"/>
    <sheet name="Turbines" sheetId="14" r:id="rId13"/>
    <sheet name="Batteries" sheetId="22" r:id="rId14"/>
    <sheet name="Electrolysers" sheetId="26" r:id="rId15"/>
    <sheet name="Lists" sheetId="11" r:id="rId16"/>
  </sheets>
  <definedNames>
    <definedName name="Activities">#REF!</definedName>
    <definedName name="Admin_labour">Rates!$B$24</definedName>
    <definedName name="Admin_labour_rate">Rates!$D$24</definedName>
    <definedName name="Aluminium">Lists!$B$29</definedName>
    <definedName name="Ameliorants">#REF!</definedName>
    <definedName name="Ameliorants_app_rate">Assumptions!$E$68:$E$69</definedName>
    <definedName name="Ameliorants_names">Rates!$B$75:$B$76</definedName>
    <definedName name="Ameliorants_rates">Rates!$D$75:$D$76</definedName>
    <definedName name="Ameliorants_rates_UR">'Cost Schedule'!$C$17:$C$18</definedName>
    <definedName name="Ameliorants_soil_names_As">Assumptions!$B$68:$B$69</definedName>
    <definedName name="Arid">Lists!$B$33</definedName>
    <definedName name="Asphalt_surface_cover">Assumptions!$E$133</definedName>
    <definedName name="Associate_Engineer_Geologist_Scientist">Rates!$B$17</definedName>
    <definedName name="Associate_Engineer_Geologist_Scientist_rate">Rates!$D$17</definedName>
    <definedName name="Assumptions">Assumptions!$B$4</definedName>
    <definedName name="Auditor_Director">Rates!$B$22</definedName>
    <definedName name="Auditor_Director_rate">Rates!$D$22</definedName>
    <definedName name="Backhoe_420F">Rates!$B$9</definedName>
    <definedName name="Backhoe_420F_rate">Rates!$D$9</definedName>
    <definedName name="Backhoe_attachments">Rates!$B$10</definedName>
    <definedName name="Backhoe_attachments_rate">Rates!$D$10</definedName>
    <definedName name="Batteries" localSheetId="14">Electrolysers!$B$4</definedName>
    <definedName name="Batteries">Batteries!$B$4</definedName>
    <definedName name="Battery_energy_storage_systems">#REF!</definedName>
    <definedName name="BESS">BESS!$B$8</definedName>
    <definedName name="BESS_aluminium">Batteries!$D$10:$N$10</definedName>
    <definedName name="BESS_copper">Batteries!$D$9:$N$9</definedName>
    <definedName name="BESS_electronics">Batteries!$D$12:$N$12</definedName>
    <definedName name="BESS_fluids">Batteries!$D$14:$N$14</definedName>
    <definedName name="BESS_glass_etc">Batteries!$D$15:$N$15</definedName>
    <definedName name="BESS_headers">Batteries!$B$5:$B$24</definedName>
    <definedName name="BESS_LiFePO4_cells">Batteries!$D$11:$N$11</definedName>
    <definedName name="BESS_liquid">Batteries!$D$24:$N$24</definedName>
    <definedName name="BESS_mass">Batteries!$D$6:$N$6</definedName>
    <definedName name="BESS_models">Batteries!$D$4:$N$4</definedName>
    <definedName name="BESS_other">Batteries!$D$16:$N$16</definedName>
    <definedName name="BESS_plastics">Batteries!$D$13:$N$13</definedName>
    <definedName name="BESS_slab_footprint">Batteries!$D$22:$N$22</definedName>
    <definedName name="BESS_steel">Batteries!$D$8:$N$8</definedName>
    <definedName name="BESS_values">Batteries!$D$5:$N$24</definedName>
    <definedName name="Blades_haul_unload_distance_avg">'Cost Schedule'!$F$107:$F$125</definedName>
    <definedName name="Blades_hub_haul_unload_names_UR">'Cost Schedule'!$B$107:$B$125</definedName>
    <definedName name="Blades_hub_haul_unload_rates_UR">'Cost Schedule'!$C$107:$C$125</definedName>
    <definedName name="Blades_hubs_per_truck">Productivity!$C$94</definedName>
    <definedName name="BLUE_HYDROGEN">#REF!</definedName>
    <definedName name="Bolt_mass">Assumptions!$E$173</definedName>
    <definedName name="Bolt_removal_time">Assumptions!$E$174</definedName>
    <definedName name="Buildings">#REF!</definedName>
    <definedName name="Buildings_by_area_names_UR">'Cost Schedule'!$B$30:$B$34</definedName>
    <definedName name="Buildings_by_area_removal_rates_UR">'Cost Schedule'!$C$30:$C$34</definedName>
    <definedName name="Buildings_by_area_unit_CS">'Cost Schedule'!$D$30:$D$34</definedName>
    <definedName name="Buildings_by_number_names_UR">'Cost Schedule'!$B$37:$B$40</definedName>
    <definedName name="Buildings_by_number_removal_rates_UR">'Cost Schedule'!$C$37:$C$40</definedName>
    <definedName name="Buried_tank_steel_thickness">Assumptions!$E$144</definedName>
    <definedName name="Cable_drums_haul_unload_distance_avg">'Cost Schedule'!$F$191:$F$209</definedName>
    <definedName name="Cable_drums_haul_unload_names_UR">'Cost Schedule'!$B$191:$B$209</definedName>
    <definedName name="Cable_drums_haul_unload_rates_UR">'Cost Schedule'!$C$191:$C$209</definedName>
    <definedName name="Cables">#REF!</definedName>
    <definedName name="Cables_haul_unload_distance_avg">'Cost Schedule'!$F$170:$F$188</definedName>
    <definedName name="Compactor_CP633E_Sheepsfoot">Rates!$B$12</definedName>
    <definedName name="Compactor_CP633E_Sheepsfoot_rate">Rates!$D$12</definedName>
    <definedName name="Concrete_break_rate">Productivity!$C$58</definedName>
    <definedName name="Concrete_crush_30mm">Productivity!$C$9</definedName>
    <definedName name="Concrete_crush_50mm">Productivity!$C$8</definedName>
    <definedName name="Concrete_crush_75mm">Productivity!$C$7</definedName>
    <definedName name="Concrete_crush_names_UR">'Cost Schedule'!$B$43:$B$45</definedName>
    <definedName name="Concrete_crush_rates_UR">'Cost Schedule'!$C$43:$C$45</definedName>
    <definedName name="Concrete_crush_to_30mm_rate">'Cost Schedule'!$C$45</definedName>
    <definedName name="Concrete_crush_to_50mm_rate">'Cost Schedule'!$C$44</definedName>
    <definedName name="Concrete_crush_to_75mm_rate">'Cost Schedule'!$C$43</definedName>
    <definedName name="Concrete_Crushing">#REF!</definedName>
    <definedName name="Concrete_crushing_plant">Rates!$B$14</definedName>
    <definedName name="Concrete_crushing_plant_rate">Rates!$D$14</definedName>
    <definedName name="Concrete_default_thickness">Assumptions!$E$104</definedName>
    <definedName name="Concrete_density">Assumptions!$E$103</definedName>
    <definedName name="Concrete_disposal_distance">Assumptions!$E$162</definedName>
    <definedName name="Concrete_footing_Module">Assumptions!$E$131</definedName>
    <definedName name="Concrete_recycle">Rates!$D$89</definedName>
    <definedName name="Concrete_slab_thickness_Transformer">Assumptions!$E$132</definedName>
    <definedName name="Concrete_surface_cover_Building">Assumptions!$E$129</definedName>
    <definedName name="Concrete_surface_cover_Parking">Assumptions!$E$130</definedName>
    <definedName name="Concrete_truck_packing_factor">Assumptions!$E$105</definedName>
    <definedName name="Construction_labour">Rates!$B$103</definedName>
    <definedName name="Construction_labour_rate">Rates!$D$103</definedName>
    <definedName name="Contingency_percentage">Assumptions!$E$115</definedName>
    <definedName name="Copper">Lists!$B$28</definedName>
    <definedName name="Copper_cables_haul_unload_names_UR">'Cost Schedule'!$B$170:$B$188</definedName>
    <definedName name="Copper_cables_haul_unload_rates_UR">'Cost Schedule'!$C$170:$C$188</definedName>
    <definedName name="Cost_Schedule">'Cost Schedule'!$B$4</definedName>
    <definedName name="Crane_1000t">Rates!$B$31</definedName>
    <definedName name="Crane_1000t_rate">Rates!$D$31</definedName>
    <definedName name="Crane_120t">Rates!$B$29</definedName>
    <definedName name="Crane_120t_rate">Rates!$D$29</definedName>
    <definedName name="Crane_20t">Rates!$B$27</definedName>
    <definedName name="Crane_20t_rate">Rates!$D$27</definedName>
    <definedName name="Crane_500t">Rates!$B$30</definedName>
    <definedName name="Crane_500t_rate">Rates!$D$30</definedName>
    <definedName name="Crane_50t">Rates!$B$28</definedName>
    <definedName name="Crane_50t_rate">Rates!$D$28</definedName>
    <definedName name="Demolition_crew">Rates!$B$101</definedName>
    <definedName name="Demolition_crew_rate">Rates!$D$101</definedName>
    <definedName name="Disconnect_diesel_generator">#REF!</definedName>
    <definedName name="Disconnect_inverters_rate">#REF!</definedName>
    <definedName name="Disconnect_Utilities">#REF!</definedName>
    <definedName name="Disconnect_utilities_rate">#REF!</definedName>
    <definedName name="Disposal_gate_fee_concrete_rubble">Rates!#REF!</definedName>
    <definedName name="Disposal_gate_fee_concrete_rubble_rate">Rates!$D$121</definedName>
    <definedName name="Disposal_gate_fee_Construction_Debris">Rates!$B$121</definedName>
    <definedName name="Disposal_gate_fee_Construction_Debris_rate">Rates!$D$121</definedName>
    <definedName name="Disposal_gate_fee_Low_level_solid_waste">Rates!$B$126</definedName>
    <definedName name="Disposal_gate_fee_Low_level_solid_waste_rate">Rates!$D$126</definedName>
    <definedName name="Disposal_gate_fee_names">Rates!$B$121:$B$127</definedName>
    <definedName name="Disposal_gate_fee_oil_rate">Rates!$D$138</definedName>
    <definedName name="Disposal_gate_fee_oily_water">Rates!$B$137</definedName>
    <definedName name="Disposal_gate_fee_oily_water_rate">Rates!$D$137</definedName>
    <definedName name="Disposal_gate_fee_rates">Rates!$D$121:$D$127</definedName>
    <definedName name="Disposal_gate_fee_Steel">Rates!$D$122</definedName>
    <definedName name="Distances_short">Lists!$B$108:$B$111</definedName>
    <definedName name="Dogman">Rates!$B$102</definedName>
    <definedName name="Dogman_rate">Rates!$D$102</definedName>
    <definedName name="Double_skin_tank">Lists!$B$132</definedName>
    <definedName name="Dozer_applied">Lists!$B$103</definedName>
    <definedName name="Dozer_average_values_P">Productivity!$C$22:$P$27</definedName>
    <definedName name="Dozer_D6R">Productivity!$B$22:$B$27</definedName>
    <definedName name="Dozer_D8R">Rates!$B$34</definedName>
    <definedName name="Dozer_D8R_rate">Rates!$D$34</definedName>
    <definedName name="Dozer_lengths_L">Lists!$B$12:$B$25</definedName>
    <definedName name="Dozer_lengths_P">Productivity!$C$21:$P$21</definedName>
    <definedName name="Dozer_names_P">Productivity!$B$14:$B$19</definedName>
    <definedName name="Dozer_push_length_P">Productivity!$C$13:$O$13</definedName>
    <definedName name="Dozer_Rip">#REF!</definedName>
    <definedName name="Dozer_rip_rate_A">#REF!</definedName>
    <definedName name="Dozer_rip_time_P">Productivity!$C$38</definedName>
    <definedName name="Dozer_values_P">Productivity!$C$14:$O$19</definedName>
    <definedName name="Dozer_Works">#REF!</definedName>
    <definedName name="Draftsman_Technician">Rates!$B$23</definedName>
    <definedName name="Draftsman_Technician_rate">Rates!$D$23</definedName>
    <definedName name="Drums_per_truck">Productivity!$C$97</definedName>
    <definedName name="Electrical_cable_material">Lists!$B$28:$B$29</definedName>
    <definedName name="Electrical_cables_km_per_drum_Ass">Assumptions!$A$33:$A$56</definedName>
    <definedName name="Electrical_cables_names_Ass">Assumptions!$B$33:$B$56</definedName>
    <definedName name="Electrician">Rates!$B$96</definedName>
    <definedName name="Electrician_rate">Rates!$D$96</definedName>
    <definedName name="Electrolyser_20ft_containers">Electrolysers!$D$10:$N$10</definedName>
    <definedName name="Electrolyser_40ft_containers">Electrolysers!$D$11:$N$11</definedName>
    <definedName name="Electrolyser_capacity">Electrolysers!$D$8:$N$8</definedName>
    <definedName name="Electrolyser_liquids">Electrolysers!$D$27:$N$27</definedName>
    <definedName name="Electrolyser_models">Electrolysers!$D$4:$N$4</definedName>
    <definedName name="Electrolysers_water_consumption">Electrolysers!$D$13:$N$13</definedName>
    <definedName name="Excavator_20t">Rates!$B$36</definedName>
    <definedName name="Excavator_20t_grapple">Rates!$B$47</definedName>
    <definedName name="Excavator_20t_grapple_rate">Rates!$D$47</definedName>
    <definedName name="Excavator_20t_hammer">Rates!$B$41</definedName>
    <definedName name="Excavator_20t_hammer_rate">Rates!$D$41</definedName>
    <definedName name="Excavator_20t_rate">Rates!$D$36</definedName>
    <definedName name="Excavator_20t_shears">Rates!$B$44</definedName>
    <definedName name="Excavator_20t_shears_rate">Rates!$D$44</definedName>
    <definedName name="Excavator_40t">Rates!$B$37</definedName>
    <definedName name="Excavator_40t_grapple">Rates!$B$48</definedName>
    <definedName name="Excavator_40t_grapple_rate">Rates!$D$48</definedName>
    <definedName name="Excavator_40t_hammer">Rates!$B$42</definedName>
    <definedName name="Excavator_40t_hammer_rate">Rates!$D$42</definedName>
    <definedName name="Excavator_40t_rate">Rates!$D$37</definedName>
    <definedName name="Excavator_40t_shears">Rates!$B$45</definedName>
    <definedName name="Excavator_40t_shears_rate">Rates!$D$45</definedName>
    <definedName name="Excavator_74t">Rates!$B$38</definedName>
    <definedName name="Excavator_74t_grapple">Rates!$B$49</definedName>
    <definedName name="Excavator_74t_grapple_rate">Rates!$D$49</definedName>
    <definedName name="Excavator_74t_hammer">Rates!$B$43</definedName>
    <definedName name="Excavator_74t_hammer_rate">Rates!$D$43</definedName>
    <definedName name="Excavator_74t_rate">Rates!$D$38</definedName>
    <definedName name="Excavator_74t_shears">Rates!$B$46</definedName>
    <definedName name="Excavator_74t_shears_rate">Rates!$D$46</definedName>
    <definedName name="Excavator_Cut_Cladding">Productivity!$C$52</definedName>
    <definedName name="Excavator_Cut_Pipe">Productivity!$C$51</definedName>
    <definedName name="Excavator_Cut_Steel_Plate">Productivity!$C$53</definedName>
    <definedName name="Excavator_PC_1900">Rates!$B$39</definedName>
    <definedName name="Excavator_PC_1900_rate">Rates!$D$39</definedName>
    <definedName name="Explosives_for_wind_turbine_collapse">Rates!$B$51</definedName>
    <definedName name="Explosives_wind_turbine_collapse_rate">Rates!$D$51</definedName>
    <definedName name="Fertiliser_app_rate">Assumptions!$E$72:$E$73</definedName>
    <definedName name="Fertiliser_Ass">Assumptions!$B$72:$B$73</definedName>
    <definedName name="Fertiliser_names">Rates!$B$56:$B$57</definedName>
    <definedName name="Fertiliser_native">Rates!$B$57</definedName>
    <definedName name="Fertiliser_native_app_rate">Assumptions!$E$73</definedName>
    <definedName name="Fertiliser_native_rate">Rates!$D$57</definedName>
    <definedName name="Fertiliser_pasture">Rates!$B$56</definedName>
    <definedName name="Fertiliser_pasture_app_rate">Assumptions!$E$72</definedName>
    <definedName name="Fertiliser_pasture_rate">Rates!$D$56</definedName>
    <definedName name="Fertiliser_rates">Rates!$D$56:$D$57</definedName>
    <definedName name="Foreperson">Rates!$B$97</definedName>
    <definedName name="Foreperson_rate">Rates!$D$97</definedName>
    <definedName name="Foundation_bolts_per_m2">Assumptions!$E$171</definedName>
    <definedName name="Foundation_demolition_large_rate">'Cost Schedule'!$C$444</definedName>
    <definedName name="Foundation_demolition_small_rate">'Cost Schedule'!$C$443</definedName>
    <definedName name="Fuel_tanker">Rates!$B$113</definedName>
    <definedName name="Fuel_tanker_rate">Rates!$D$113</definedName>
    <definedName name="Gas_Axe">Rates!$B$92</definedName>
    <definedName name="Gas_Axe_rate">Rates!$D$92</definedName>
    <definedName name="Grader_12M">Rates!$B$53</definedName>
    <definedName name="Grader_12M_rate">Rates!$D$53</definedName>
    <definedName name="Grader_14M">Rates!$B$54</definedName>
    <definedName name="Grader_14M_rate">Rates!$D$54</definedName>
    <definedName name="Grader_names_A">#REF!</definedName>
    <definedName name="Grader_Rip_and_Trim">#REF!</definedName>
    <definedName name="Grader_rip_and_trim_rates_A">#REF!</definedName>
    <definedName name="Grader_rip_rates_A">#REF!</definedName>
    <definedName name="Grader_trim_rates_A">#REF!</definedName>
    <definedName name="Gravel_rock_track_road_cover_thickness">Assumptions!$E$158</definedName>
    <definedName name="Gravel_surface_cover">Assumptions!$E$134</definedName>
    <definedName name="GREEN_HYDROGEN">BESS!$B$8</definedName>
    <definedName name="Growth_media_thickness">Assumptions!$E$65</definedName>
    <definedName name="Gypsum">Rates!$B$75</definedName>
    <definedName name="Gypsum_rate">Rates!$D$75</definedName>
    <definedName name="Handcast">Lists!$B$102</definedName>
    <definedName name="Handcast_Native_seed_rate_UR">'Cost Schedule'!$C$386</definedName>
    <definedName name="Handcast_Pasture_seed_rate_UR">'Cost Schedule'!$C$384</definedName>
    <definedName name="HDPE_Welder">Rates!$B$100</definedName>
    <definedName name="HDPE_Welder_rate">Rates!$D$100</definedName>
    <definedName name="Health_and_Safety_Lead">Rates!$B$25</definedName>
    <definedName name="Health_and_Safety_Lead_rate">Rates!$D$25</definedName>
    <definedName name="Hours_per_day">Assumptions!$E$179</definedName>
    <definedName name="Hydro_applications">#REF!</definedName>
    <definedName name="Hydro_rig">Rates!$B$116</definedName>
    <definedName name="Hydro_rig_rate">Rates!$D$116</definedName>
    <definedName name="Hydromulch_BFM_native_seed">Rates!$B$64</definedName>
    <definedName name="Hydromulch_BFM_native_seed_rate">Rates!$D$64</definedName>
    <definedName name="Hydromulch_BFM_pasture_seed">Rates!$B$63</definedName>
    <definedName name="Hydromulch_BFM_pasture_seed_rate">Rates!$D$63</definedName>
    <definedName name="Hydromulch_BGM_native_seed">Rates!$B$68</definedName>
    <definedName name="Hydromulch_BGM_native_seed_rate">Rates!$D$68</definedName>
    <definedName name="Hydromulch_BGM_pasture_seed">Rates!$B$67</definedName>
    <definedName name="Hydromulch_BGM_pasture_seed_rate">Rates!$D$67</definedName>
    <definedName name="Hydromulch_FRM_native_seed">Rates!$B$66</definedName>
    <definedName name="Hydromulch_FRM_native_seed_rate">Rates!$D$66</definedName>
    <definedName name="Hydromulch_FRM_pasture_seed">Rates!$B$65</definedName>
    <definedName name="Hydromulch_FRM_pasture_seed_rate">Rates!$D$65</definedName>
    <definedName name="Hydromulching_BFM_productivity">Productivity!$C$81</definedName>
    <definedName name="Hydromulching_BGM_productivity">Productivity!$C$83</definedName>
    <definedName name="Hydromulching_FRM_productivity">Productivity!$C$82</definedName>
    <definedName name="Hydrosapps_app_rates_Ass">Assumptions!$E$82:$E$89</definedName>
    <definedName name="Hydrosapps_names_Ass">Assumptions!$B$82:$B$89</definedName>
    <definedName name="Hydroseeding_native_seed">Rates!$B$62</definedName>
    <definedName name="Hydroseeding_native_seed_rate">Rates!$D$62</definedName>
    <definedName name="Hydroseeding_pasture_seed">Rates!$B$61</definedName>
    <definedName name="Hydroseeding_pasture_seed_rate">Rates!$D$61</definedName>
    <definedName name="Hydroseeding_productivity">Productivity!$C$80</definedName>
    <definedName name="Inflation">Rates!$AJ$4+Rates!$P$5</definedName>
    <definedName name="Information">Information!$B$3</definedName>
    <definedName name="Inverters_Power_Conditioners">#REF!</definedName>
    <definedName name="Junior_Engineer_Geologist_Scientist">Rates!$B$16</definedName>
    <definedName name="Junior_Engineer_Geologist_Scientist_rate">Rates!$D$16</definedName>
    <definedName name="kilograms_in_tonnes">Assumptions!$E$18</definedName>
    <definedName name="Kilolitres_in_megalitres">Assumptions!$E$22</definedName>
    <definedName name="Labour_General">Rates!$B$98</definedName>
    <definedName name="Labour_General_rate">Rates!$D$98</definedName>
    <definedName name="Large_turbine">Lists!$B$185</definedName>
    <definedName name="Lattice_Structures_Flares_and_Ancillary_Facilities">#REF!</definedName>
    <definedName name="Lime">Rates!$B$76</definedName>
    <definedName name="Lime_rate">Rates!$D$76</definedName>
    <definedName name="Liquid_waste_disposal_distance">Assumptions!$E$163</definedName>
    <definedName name="Litres_in_kilolitres">Assumptions!$E$21</definedName>
    <definedName name="Load__Haulage__Dump_Gravel___Rock___Bitumen_close_to_site">#REF!</definedName>
    <definedName name="Load__Haulage__Dump_Growth_Media_around_Site">#REF!</definedName>
    <definedName name="Load__Long_Haul__Dump_Concrete_and_Solid_Waste">#REF!</definedName>
    <definedName name="Load__Long_Haul__Dump_Growth_Media___Ameliorants">#REF!</definedName>
    <definedName name="Load__Long_Haul__Dump_Modules">#REF!</definedName>
    <definedName name="Load__Long_Haul__Dump_Oil">#REF!</definedName>
    <definedName name="Load__Long_Haul__Dump_Scrap_Steel">#REF!</definedName>
    <definedName name="Load__Long_Haul__Dump_Summary">#REF!</definedName>
    <definedName name="Load_and_Haul_Summary">#REF!</definedName>
    <definedName name="Load_haul_dump_concrete_onsite_names_UR">'Cost Schedule'!$B$236:$B$246</definedName>
    <definedName name="Load_haul_dump_concrete_onsite_rates_UR">'Cost Schedule'!$C$236:$C$246</definedName>
    <definedName name="Load_haul_dump_growth_media_distance_avg">'Cost Schedule'!$F$249:$F$267</definedName>
    <definedName name="Load_haul_dump_growth_media_onsite_names_UR">'Cost Schedule'!$B$223:$B$233</definedName>
    <definedName name="Load_haul_dump_growth_media_onsite_rates_UR">'Cost Schedule'!$C$223:$C$233</definedName>
    <definedName name="Load_haul_dump_modules_distance_avg">'Cost Schedule'!$F$333:$F$351</definedName>
    <definedName name="Load_haul_dump_oil_distance_avg">'Cost Schedule'!$F$312:$F$330</definedName>
    <definedName name="Load_haul_dump_rubble_distance_avg">'Cost Schedule'!$F$270:$F$288</definedName>
    <definedName name="Load_haul_dump_soil_ameliorants_from_off_site_names_UR">'Cost Schedule'!$B$249:$B$267</definedName>
    <definedName name="Load_haul_dump_soil_ameliorants_from_off_site_rates_UR">'Cost Schedule'!$C$249:$C$267</definedName>
    <definedName name="Load_haul_dump_spread_gravel_distances_A">#REF!</definedName>
    <definedName name="Load_haul_dump_spread_gravel_rates_A">#REF!</definedName>
    <definedName name="Load_haul_dump_steel_distance_avg">'Cost Schedule'!$F$291:$F$309</definedName>
    <definedName name="Load_haul_names_A">#REF!</definedName>
    <definedName name="Load_haul_names_L">Lists!$B$38:$B$48</definedName>
    <definedName name="Load_haul_small_soil_rates_A">#REF!</definedName>
    <definedName name="Load_haul_small_stabilised_rates_A">#REF!</definedName>
    <definedName name="Loader_980M">Rates!$B$81</definedName>
    <definedName name="Loader_980M_rate">Rates!$D$81</definedName>
    <definedName name="Long_haul_distance_average_L">Lists!$C$51:$C$69</definedName>
    <definedName name="Long_haul_distance_names_A">#REF!</definedName>
    <definedName name="Long_haul_distance_names_L">Lists!$B$51:$B$69</definedName>
    <definedName name="Long_haul_names_concrete_UR">'Cost Schedule'!$B$270:$B$288</definedName>
    <definedName name="Long_haul_names_modules_UR">'Cost Schedule'!$B$333:$B$351</definedName>
    <definedName name="Long_haul_names_oil_UR">'Cost Schedule'!$B$312:$B$330</definedName>
    <definedName name="Long_haul_names_steel_UR">'Cost Schedule'!$B$291:$B$309</definedName>
    <definedName name="Long_haul_rates_ameliorants_A">#REF!</definedName>
    <definedName name="Long_haul_rates_ameliorants_UR">'Cost Schedule'!$C$249:$C$267</definedName>
    <definedName name="Long_haul_rates_concrete_A">#REF!</definedName>
    <definedName name="Long_haul_rates_concrete_UR">'Cost Schedule'!$C$270:$C$288</definedName>
    <definedName name="Long_haul_rates_modules_A">#REF!</definedName>
    <definedName name="Long_haul_rates_modules_UR">'Cost Schedule'!$C$333:$C$351</definedName>
    <definedName name="Long_haul_rates_oil_A">#REF!</definedName>
    <definedName name="Long_haul_rates_oil_UR">'Cost Schedule'!$C$312:$C$330</definedName>
    <definedName name="Long_haul_rates_steel_A">#REF!</definedName>
    <definedName name="Long_haul_rates_steel_UR">'Cost Schedule'!$C$291:$C$309</definedName>
    <definedName name="Materials_list">Lists!$B$72:$B$76</definedName>
    <definedName name="Mechanical_Fitter">Rates!$B$99</definedName>
    <definedName name="Mechanical_Fitter_rate">Rates!$D$99</definedName>
    <definedName name="Metres_in_kilometres">Assumptions!$E$19</definedName>
    <definedName name="Metres_min_in_kilometres_hour">Assumptions!$E$24</definedName>
    <definedName name="Millimetres_in_metres">Assumptions!$E$23</definedName>
    <definedName name="Minutes_in_hour">Assumptions!$E$17</definedName>
    <definedName name="Mobe_names_BESS_CS">'Cost Schedule'!$B$366:$B$369</definedName>
    <definedName name="Mobe_names_electrical_CS">'Cost Schedule'!$B$370:$B$373</definedName>
    <definedName name="Mobe_names_land_CS">'Cost Schedule'!$B$374:$B$377</definedName>
    <definedName name="Mobe_names_solar_CS">'Cost Schedule'!$B$358:$B$361</definedName>
    <definedName name="Mobe_names_wind_CS">'Cost Schedule'!$B$362:$B$365</definedName>
    <definedName name="Mobe_rates_BESS_CS">'Cost Schedule'!$C$366:$C$369</definedName>
    <definedName name="Mobe_rates_electrical_CS">'Cost Schedule'!$C$370:$C$373</definedName>
    <definedName name="Mobe_rates_land_CS">'Cost Schedule'!$C$374:$C$377</definedName>
    <definedName name="Mobe_rates_solar_CS">'Cost Schedule'!$C$358:$C$361</definedName>
    <definedName name="Mobe_rates_wind_CS">'Cost Schedule'!$C$362:$C$365</definedName>
    <definedName name="Mobilisation">#REF!</definedName>
    <definedName name="Modules_and_Skid_Equipment">#REF!</definedName>
    <definedName name="Nacelles_haul_unload_distance_avg">'Cost Schedule'!$F$128:$F$146</definedName>
    <definedName name="Nacelles_haul_unload_names_UR">'Cost Schedule'!$B$128:$B$146</definedName>
    <definedName name="Nacelles_haul_unload_rates_UR">'Cost Schedule'!$C$128:$C$146</definedName>
    <definedName name="Nacelles_per_truck">Productivity!$C$95</definedName>
    <definedName name="Native">Lists!$B$35</definedName>
    <definedName name="Native_seed">Rates!$B$70</definedName>
    <definedName name="Native_seed_rate">Rates!$D$70</definedName>
    <definedName name="Number_of_steel_bolts_per_m2_foundation_coefficient_1">Assumptions!$E$171</definedName>
    <definedName name="Number_of_steel_bolts_per_m2_foundation_coefficient_2">Assumptions!$E$172</definedName>
    <definedName name="Oil_recycle">Rates!$B$90</definedName>
    <definedName name="Oil_recycle_rate">Rates!$D$90</definedName>
    <definedName name="Ongoing_monitoring_percentage">Assumptions!$E$114</definedName>
    <definedName name="Panel_tank_mass_capture_cable_15.2mm">Assumptions!$E$148</definedName>
    <definedName name="Panel_tank_mass_reinforcing_cable_12.7mm">Assumptions!$E$147</definedName>
    <definedName name="Panels">Panels!$B$4</definedName>
    <definedName name="Panels_haul_unload_distance_avg">'Cost Schedule'!$F$86:$F$104</definedName>
    <definedName name="Panels_haul_unload_names_UR">'Cost Schedule'!$B$86:$B$104</definedName>
    <definedName name="Panels_haul_unload_rates_UR">'Cost Schedule'!$C$86:$C$104</definedName>
    <definedName name="Panels_headers">Panels!$C$5:$H$5</definedName>
    <definedName name="Panels_models">Panels!$B$7:$B$11</definedName>
    <definedName name="Panels_units">Panels!$C$6:$H$6</definedName>
    <definedName name="Panels_values">Panels!$C$7:$H$11</definedName>
    <definedName name="Panhandler">Rates!$B$80</definedName>
    <definedName name="Panhandler_rate">Rates!$D$80</definedName>
    <definedName name="Pasture">Lists!$B$34</definedName>
    <definedName name="Pasture_seed">Rates!$B$71</definedName>
    <definedName name="Pasture_seed_rate">Rates!$D$71</definedName>
    <definedName name="Plant">Lists!$B$104</definedName>
    <definedName name="Plant_and_seed_app_rate">Assumptions!$E$76:$E$79</definedName>
    <definedName name="Plant_and_seed_names_Ass">Assumptions!$B$76:$B$79</definedName>
    <definedName name="Plant_and_seed_names_R">Rates!$B$70:$B$73</definedName>
    <definedName name="Planting_and_Seeding">#REF!</definedName>
    <definedName name="Powerlines_Meteorological_Masts">#REF!</definedName>
    <definedName name="Principal_Engineer_Geologist_Scientist">Rates!$B$18</definedName>
    <definedName name="Principal_Engineer_Geologist_Scientist_rate">Rates!$D$18</definedName>
    <definedName name="Process_Plants">#REF!</definedName>
    <definedName name="Productivity">Productivity!$B$4</definedName>
    <definedName name="Project_management_percentage">Assumptions!$E$113</definedName>
    <definedName name="Project_Manager">Rates!$B$20</definedName>
    <definedName name="Project_Manager_rate">Rates!$D$20</definedName>
    <definedName name="Project_Name">Information!$D$7</definedName>
    <definedName name="Pump_4_inch_dewater_with_hoses">Rates!$B$112</definedName>
    <definedName name="Pump_4_inch_dewater_with_hoses_rate">Rates!$D$112</definedName>
    <definedName name="Pump_Truck_Tanker">Rates!$B$111</definedName>
    <definedName name="Pump_Truck_Tanker_rate">Rates!$D$111</definedName>
    <definedName name="Rail_loading_bin_steel_thickness">Assumptions!$E$141</definedName>
    <definedName name="Rate_unit">Rates!$E:$E</definedName>
    <definedName name="Rates">Rates!$B$4</definedName>
    <definedName name="Rates_name">Rates!$B:$B</definedName>
    <definedName name="Remove_met_mast_rate">'Cost Schedule'!$C$355</definedName>
    <definedName name="Remove_oil_from_gearbox_rate_UR">'Cost Schedule'!$C$434</definedName>
    <definedName name="Remove_powerline_rate">'Cost Schedule'!$C$380</definedName>
    <definedName name="Reporting_and_documentation">#REF!</definedName>
    <definedName name="Reporting_documentation_names_UR">'Cost Schedule'!$B$411:$B$415</definedName>
    <definedName name="Reporting_documentation_rates_UR">'Cost Schedule'!$C$411:$C$415</definedName>
    <definedName name="Revegetation_names_UR">'Cost Schedule'!$B$383:$B$388</definedName>
    <definedName name="Revegetation_rates_UR">'Cost Schedule'!$C$383:$C$388</definedName>
    <definedName name="Rigger">Rates!$B$95</definedName>
    <definedName name="Rigger_rate">Rates!$D$95</definedName>
    <definedName name="Roads__Tracks__Laydown__Airstrip">#REF!</definedName>
    <definedName name="Roads_tracks_laydown_list_UR">'Cost Schedule'!$B$397:$B$402</definedName>
    <definedName name="Rock_cover_density">Assumptions!$E$119</definedName>
    <definedName name="Scrap_aluminium_and_alloy">Rates!$B$83</definedName>
    <definedName name="Scrap_aluminium_and_alloy_rate">Rates!$D$83</definedName>
    <definedName name="Scrap_copper_and_alloy">Rates!$B$84</definedName>
    <definedName name="Scrap_copper_and_alloy_rate">Rates!$D$84</definedName>
    <definedName name="Scrap_glass">Rates!$B$85</definedName>
    <definedName name="Scrap_glass_rate">Rates!$D$85</definedName>
    <definedName name="Scrap_silver">Rates!$B$86</definedName>
    <definedName name="Scrap_silver_rate">Rates!$D$86</definedName>
    <definedName name="Scrap_stainless_steel">Rates!$B$87</definedName>
    <definedName name="Scrap_stainless_steel_rate">Rates!$D$87</definedName>
    <definedName name="Scrap_steel">Rates!$B$88</definedName>
    <definedName name="Scrap_steel_rate">Rates!$D$88</definedName>
    <definedName name="Scrapyard_distance">Assumptions!$E$164</definedName>
    <definedName name="Section_length__blades_and_tower__for_collapse_method">Assumptions!$E$175</definedName>
    <definedName name="Section_per_truck_for_collapse_method">Assumptions!$E$176</definedName>
    <definedName name="Seed_and_plant_rates">Rates!$D$70:$D$73</definedName>
    <definedName name="Semi_tipper_max_mass">Productivity!$C$91</definedName>
    <definedName name="Semi_tipper_max_volume">Productivity!$C$90</definedName>
    <definedName name="Semi_tipper_maximum_volume___concrete">Productivity!$C$92</definedName>
    <definedName name="Senior_Principal_Engineer_Geologist_Scientist">Rates!$B$19</definedName>
    <definedName name="Senior_Principal_Engineer_Geologist_Scientist_rate">Rates!$D$19</definedName>
    <definedName name="Senior_Project_Manager">Rates!$B$21</definedName>
    <definedName name="Senior_Project_Manager_rate">Rates!$D$21</definedName>
    <definedName name="Silo_steel_thickness">Assumptions!$E$139</definedName>
    <definedName name="Single_skin_tank">Lists!$B$131</definedName>
    <definedName name="Site_selected_BESS_S">Summary!#REF!</definedName>
    <definedName name="Site_selected_BlueH2_S">Summary!#REF!</definedName>
    <definedName name="Site_selected_GreenH2_S">Summary!#REF!</definedName>
    <definedName name="Site_selected_solar_S">Summary!#REF!</definedName>
    <definedName name="Site_selected_wind_S">Summary!#REF!</definedName>
    <definedName name="Sludge_density">Assumptions!$E$118</definedName>
    <definedName name="Small_turbine">Lists!$B$184</definedName>
    <definedName name="Soil_density">Assumptions!$E$120</definedName>
    <definedName name="SOLAR">Solar!$B$8</definedName>
    <definedName name="Solar_Panels">#REF!</definedName>
    <definedName name="Solar_panels_per_truck">Productivity!$C$93</definedName>
    <definedName name="Specific_mass_50mm_steel_pipe">Assumptions!$E$110</definedName>
    <definedName name="Specific_mass_of_structural_steel_columns">Assumptions!$E$108</definedName>
    <definedName name="Specific_mass_of_structural_steel_cross_beams">Assumptions!$E$109</definedName>
    <definedName name="Spray">Lists!$B$105</definedName>
    <definedName name="Spread_ameliorants_rate">'Cost Schedule'!$C$17</definedName>
    <definedName name="Square_metres_in_hectare">Assumptions!$E$20</definedName>
    <definedName name="Steel_cable_cut_rate_excavator">Productivity!$C$57</definedName>
    <definedName name="Steel_density">Assumptions!$E$106</definedName>
    <definedName name="Steel_disposal_distance">Assumptions!$E$165</definedName>
    <definedName name="Steel_floor">Lists!$B$121</definedName>
    <definedName name="Steel_roof">Lists!$B$159</definedName>
    <definedName name="Steel_roof_specific_mass">Assumptions!$E$107</definedName>
    <definedName name="Steel_wall">Lists!$B$152</definedName>
    <definedName name="Storage_general_distance">Assumptions!$E$126</definedName>
    <definedName name="Substation_rates_UR">'Cost Schedule'!$C$427:$C$429</definedName>
    <definedName name="Substation_sizes_UR">'Cost Schedule'!$B$427:$B$429</definedName>
    <definedName name="Substations">#REF!</definedName>
    <definedName name="SUMMARY">Summary!$B$5</definedName>
    <definedName name="Summary_BESS">Summary!$B$115</definedName>
    <definedName name="Summary_blue_H2">Summary!#REF!</definedName>
    <definedName name="Summary_green_H2">Summary!$B$166</definedName>
    <definedName name="Summary_Solar">Summary!$B$8</definedName>
    <definedName name="Summary_wind">Summary!$B$61</definedName>
    <definedName name="Surface_cover_list">Lists!$B$114:$B$116</definedName>
    <definedName name="Tank_base_type">Lists!$B$119:$B$124</definedName>
    <definedName name="Tank_cladding_type">Lists!$B$127:$B$128</definedName>
    <definedName name="Tank_concrete_ring_L">Lists!$B$142</definedName>
    <definedName name="Tank_hopper_L">Lists!$B$144</definedName>
    <definedName name="Tank_hor_frac_L">Lists!$B$141</definedName>
    <definedName name="Tank_horizontal_L">Lists!$B$140</definedName>
    <definedName name="Tank_liner_type">Lists!$B$135:$B$136</definedName>
    <definedName name="Tank_panel_L">Lists!$B$143</definedName>
    <definedName name="Tank_rail_loading_bin_L">Lists!$B$147</definedName>
    <definedName name="Tank_rainwater_L">Lists!$B$145</definedName>
    <definedName name="Tank_silo_L">Lists!$B$146</definedName>
    <definedName name="Tank_skin_type">Lists!$B$131:$B$132</definedName>
    <definedName name="Tank_thickening_L">Lists!$B$148</definedName>
    <definedName name="Tank_top_type">Lists!$B$157:$B$160</definedName>
    <definedName name="Tank_type">Lists!$B$139:$B$149</definedName>
    <definedName name="Tank_vertical_L">Lists!$B$139</definedName>
    <definedName name="Tank_wall_type">Lists!$B$152:$B$154</definedName>
    <definedName name="Tanker_capacity">Assumptions!$E$97</definedName>
    <definedName name="Tanker_liquids_pump_flowrate_oil">Assumptions!$E$99</definedName>
    <definedName name="Tanker_liquids_pump_flowrate_water">Assumptions!$E$100</definedName>
    <definedName name="Tanks_and_Vessels_Demolition">#REF!</definedName>
    <definedName name="Thickening_tank_steel_thickness">Assumptions!$E$142</definedName>
    <definedName name="Top_soil">Rates!$B$59</definedName>
    <definedName name="Top_soil_rate">Rates!$D$59</definedName>
    <definedName name="Towers_haul_unload_distance_avg">'Cost Schedule'!$F$149:$F$167</definedName>
    <definedName name="Towers_haul_unload_names_UR">'Cost Schedule'!$B$149:$B$167</definedName>
    <definedName name="Towers_haul_unload_rates_UR">'Cost Schedule'!$C$149:$C$167</definedName>
    <definedName name="Towers_per_truck">Productivity!$C$96</definedName>
    <definedName name="Tracks_roads_width_names_Ass">Assumptions!$B$151:$B$156</definedName>
    <definedName name="Tracks_roads_widths_Ass">Assumptions!$E$151:$E$156</definedName>
    <definedName name="Transport_Blades_and_Hub">#REF!</definedName>
    <definedName name="Transport_Cable_Drums">#REF!</definedName>
    <definedName name="Transport_Copper_Cables">#REF!</definedName>
    <definedName name="Transport_Nacelle">#REF!</definedName>
    <definedName name="Transport_Panels">#REF!</definedName>
    <definedName name="Transport_Tower">#REF!</definedName>
    <definedName name="Trees_mature">Rates!$B$73</definedName>
    <definedName name="Trees_mature_rate">Rates!$D$73</definedName>
    <definedName name="Truck_740C">Rates!$B$108</definedName>
    <definedName name="Truck_740C_rate">Rates!$D$108</definedName>
    <definedName name="Truck_flatbed">Rates!$B$105</definedName>
    <definedName name="Truck_flatbed_rate">Rates!$D$105</definedName>
    <definedName name="Truck_Haul_Speed_Loaded">Productivity!$C$86</definedName>
    <definedName name="Truck_Haul_Speed_Unloaded">Productivity!$C$87</definedName>
    <definedName name="Truck_module_transport">Rates!$B$114</definedName>
    <definedName name="Truck_module_transport_rate">Rates!$D$114</definedName>
    <definedName name="Truck_semi_tipper">Rates!$B$106</definedName>
    <definedName name="Truck_semi_tipper_rate">Rates!$D$106</definedName>
    <definedName name="Truck_travel_speed_on_site_loaded">Productivity!$C$88</definedName>
    <definedName name="Truck_travel_speed_on_site_unloaded">Productivity!$C$89</definedName>
    <definedName name="Truck_vacuum_tanker">Rates!$B$109</definedName>
    <definedName name="Truck_vacuum_tanker_rate">Rates!$D$109</definedName>
    <definedName name="Truck_water_load">Assumptions!$E$98</definedName>
    <definedName name="Truck_Water_Tanker_15kL">Rates!#REF!</definedName>
    <definedName name="Truck_Water_Tanker_15kL_rate">Rates!#REF!</definedName>
    <definedName name="Truck_water_tanker_19kL">Rates!$B$110</definedName>
    <definedName name="Truck_water_tanker_19kL_rate">Rates!$D$110</definedName>
    <definedName name="Truck_with_crane">Rates!$B$107</definedName>
    <definedName name="Truck_with_crane_rate">Rates!$D$107</definedName>
    <definedName name="Tube_stock">Rates!$B$72</definedName>
    <definedName name="Tube_stock_rate">Rates!$D$72</definedName>
    <definedName name="Turbine_aluminium">Turbines!$D$10:$BM$10</definedName>
    <definedName name="Turbine_blade_length">Turbines!$D$18:$BM$18</definedName>
    <definedName name="Turbine_blade_mass">Turbines!$D$24:$BM$24</definedName>
    <definedName name="Turbine_bolts">Turbines!$D$44:$BM$44</definedName>
    <definedName name="Turbine_copper">Turbines!$D$9:$BM$9</definedName>
    <definedName name="Turbine_foundation_area">Turbines!$D$40:$BM$40</definedName>
    <definedName name="Turbine_foundation_mass">Turbines!$D$43:$BM$43</definedName>
    <definedName name="Turbine_foundation_thicknes_to_demolish">Assumptions!$E$170</definedName>
    <definedName name="Turbine_foundation_thickness">Turbines!$D$41:$BM$41</definedName>
    <definedName name="Turbine_foundation_volume">Turbines!$D$42:$BM$42</definedName>
    <definedName name="Turbine_gearbox_oil_volume">Turbines!$D$37:$BM$37</definedName>
    <definedName name="Turbine_mass">Turbines!$D$6:$BM$6</definedName>
    <definedName name="Turbine_models">Turbines!$D$4:$BM$4</definedName>
    <definedName name="Turbine_nacelle_mass">Turbines!$D$35:$BM$35</definedName>
    <definedName name="Turbine_steel_iron">Turbines!$D$8:$BM$8</definedName>
    <definedName name="Turbine_tower_height">Turbines!$D$27:$BM$27</definedName>
    <definedName name="Turbine_tower_mass">Turbines!$D$30:$BM$30</definedName>
    <definedName name="Turbine_tower_section_length">Assumptions!$E$169</definedName>
    <definedName name="Turbines">Turbines!$B$4</definedName>
    <definedName name="USER_GUIDE">'User Guide'!$C$10</definedName>
    <definedName name="Vehicle_Hire">Rates!$B$118</definedName>
    <definedName name="Vehicle_Hire_rate">Rates!$D$118</definedName>
    <definedName name="Waste_levy_Metropolitan_Solid_Waste">Rates!$B$128</definedName>
    <definedName name="Waste_levy_Metropolitan_Solid_Waste_rate">Rates!$D$128</definedName>
    <definedName name="Waste_levy_names">Rates!$B$128:$B$129</definedName>
    <definedName name="Waste_levy_Non_Metropolitan_Solid_Waste">Rates!$B$129</definedName>
    <definedName name="Waste_levy_Non_Metropolitan_Solid_Waste_rate">Rates!$D$129</definedName>
    <definedName name="Waste_levy_rates">Rates!$D$128:$D$129</definedName>
    <definedName name="Water">Rates!$B$78</definedName>
    <definedName name="Water_demand_greenH2">Assumptions!$E$59</definedName>
    <definedName name="Water_rate">Rates!$D$78</definedName>
    <definedName name="Winch_for_cables">Rates!$B$119</definedName>
    <definedName name="Winch_for_cables_rate">Rates!$D$119</definedName>
    <definedName name="WIND">Wind!$B$8</definedName>
    <definedName name="Wind_turbine_tools">Rates!$B$93</definedName>
    <definedName name="Wind_turbine_tools_rate">Rates!$D$93</definedName>
    <definedName name="Wind_Turbinesl">#REF!</definedName>
    <definedName name="Work_Platform">Rates!$B$32</definedName>
    <definedName name="Work_Platform_rate">Rates!$D$32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5" i="4" l="1"/>
  <c r="L9" i="4"/>
  <c r="M9" i="4"/>
  <c r="N9" i="4"/>
  <c r="J9" i="4" s="1"/>
  <c r="P9" i="4"/>
  <c r="D9" i="4" s="1" a="1"/>
  <c r="D9" i="4" s="1"/>
  <c r="L10" i="4"/>
  <c r="K10" i="4" s="1"/>
  <c r="M10" i="4"/>
  <c r="N10" i="4"/>
  <c r="J10" i="4" s="1"/>
  <c r="P10" i="4"/>
  <c r="D10" i="4" s="1" a="1"/>
  <c r="D10" i="4" s="1"/>
  <c r="L12" i="4"/>
  <c r="K12" i="4" s="1"/>
  <c r="M12" i="4"/>
  <c r="N12" i="4"/>
  <c r="J12" i="4" s="1"/>
  <c r="P12" i="4"/>
  <c r="D12" i="4" s="1" a="1"/>
  <c r="D12" i="4" s="1"/>
  <c r="L14" i="4"/>
  <c r="K14" i="4" s="1"/>
  <c r="M14" i="4"/>
  <c r="N14" i="4"/>
  <c r="J14" i="4" s="1"/>
  <c r="P14" i="4"/>
  <c r="D14" i="4" s="1" a="1"/>
  <c r="D14" i="4" s="1"/>
  <c r="L16" i="4"/>
  <c r="M16" i="4"/>
  <c r="N16" i="4"/>
  <c r="J16" i="4" s="1"/>
  <c r="P16" i="4"/>
  <c r="D16" i="4" s="1" a="1"/>
  <c r="D16" i="4" s="1"/>
  <c r="L17" i="4"/>
  <c r="M17" i="4"/>
  <c r="N17" i="4"/>
  <c r="J17" i="4" s="1"/>
  <c r="P17" i="4"/>
  <c r="D17" i="4" s="1" a="1"/>
  <c r="D17" i="4" s="1"/>
  <c r="L18" i="4"/>
  <c r="M18" i="4"/>
  <c r="N18" i="4"/>
  <c r="J18" i="4" s="1"/>
  <c r="P18" i="4"/>
  <c r="D18" i="4" s="1" a="1"/>
  <c r="D18" i="4" s="1"/>
  <c r="L19" i="4"/>
  <c r="M19" i="4"/>
  <c r="N19" i="4"/>
  <c r="J19" i="4" s="1"/>
  <c r="P19" i="4"/>
  <c r="D19" i="4" s="1" a="1"/>
  <c r="D19" i="4" s="1"/>
  <c r="L20" i="4"/>
  <c r="M20" i="4"/>
  <c r="N20" i="4"/>
  <c r="J20" i="4" s="1"/>
  <c r="P20" i="4"/>
  <c r="D20" i="4" s="1" a="1"/>
  <c r="D20" i="4" s="1"/>
  <c r="L21" i="4"/>
  <c r="M21" i="4"/>
  <c r="N21" i="4"/>
  <c r="J21" i="4" s="1"/>
  <c r="P21" i="4"/>
  <c r="D21" i="4" s="1" a="1"/>
  <c r="D21" i="4" s="1"/>
  <c r="L22" i="4"/>
  <c r="M22" i="4"/>
  <c r="N22" i="4"/>
  <c r="J22" i="4" s="1"/>
  <c r="P22" i="4"/>
  <c r="D22" i="4" s="1" a="1"/>
  <c r="D22" i="4" s="1"/>
  <c r="L23" i="4"/>
  <c r="M23" i="4"/>
  <c r="N23" i="4"/>
  <c r="J23" i="4" s="1"/>
  <c r="P23" i="4"/>
  <c r="D23" i="4" s="1" a="1"/>
  <c r="D23" i="4" s="1"/>
  <c r="L24" i="4"/>
  <c r="M24" i="4"/>
  <c r="N24" i="4"/>
  <c r="J24" i="4" s="1"/>
  <c r="P24" i="4"/>
  <c r="D24" i="4" s="1" a="1"/>
  <c r="D24" i="4" s="1"/>
  <c r="D25" i="4" a="1"/>
  <c r="D25" i="4" s="1"/>
  <c r="L25" i="4"/>
  <c r="K25" i="4" s="1"/>
  <c r="M25" i="4"/>
  <c r="N25" i="4"/>
  <c r="J25" i="4" s="1"/>
  <c r="P25" i="4"/>
  <c r="L27" i="4"/>
  <c r="K27" i="4" s="1"/>
  <c r="M27" i="4"/>
  <c r="N27" i="4"/>
  <c r="J27" i="4" s="1"/>
  <c r="P27" i="4"/>
  <c r="D27" i="4" s="1" a="1"/>
  <c r="D27" i="4" s="1"/>
  <c r="L28" i="4"/>
  <c r="K28" i="4" s="1"/>
  <c r="M28" i="4"/>
  <c r="N28" i="4"/>
  <c r="J28" i="4" s="1"/>
  <c r="P28" i="4"/>
  <c r="D28" i="4" s="1" a="1"/>
  <c r="D28" i="4" s="1"/>
  <c r="D29" i="4" a="1"/>
  <c r="D29" i="4" s="1"/>
  <c r="L29" i="4"/>
  <c r="K29" i="4" s="1"/>
  <c r="M29" i="4"/>
  <c r="N29" i="4"/>
  <c r="J29" i="4" s="1"/>
  <c r="P29" i="4"/>
  <c r="L30" i="4"/>
  <c r="K30" i="4" s="1"/>
  <c r="M30" i="4"/>
  <c r="N30" i="4"/>
  <c r="J30" i="4" s="1"/>
  <c r="P30" i="4"/>
  <c r="D30" i="4" s="1" a="1"/>
  <c r="D30" i="4" s="1"/>
  <c r="L31" i="4"/>
  <c r="K31" i="4" s="1"/>
  <c r="M31" i="4"/>
  <c r="N31" i="4"/>
  <c r="J31" i="4" s="1"/>
  <c r="P31" i="4"/>
  <c r="D31" i="4" s="1" a="1"/>
  <c r="D31" i="4" s="1"/>
  <c r="D32" i="4" a="1"/>
  <c r="D32" i="4" s="1"/>
  <c r="L32" i="4"/>
  <c r="K32" i="4" s="1"/>
  <c r="M32" i="4"/>
  <c r="N32" i="4"/>
  <c r="J32" i="4" s="1"/>
  <c r="P32" i="4"/>
  <c r="L34" i="4"/>
  <c r="M34" i="4"/>
  <c r="N34" i="4"/>
  <c r="J34" i="4" s="1"/>
  <c r="P34" i="4"/>
  <c r="D34" i="4" s="1" a="1"/>
  <c r="D34" i="4" s="1"/>
  <c r="D36" i="4" a="1"/>
  <c r="D36" i="4" s="1"/>
  <c r="L36" i="4"/>
  <c r="K36" i="4" s="1"/>
  <c r="M36" i="4"/>
  <c r="N36" i="4"/>
  <c r="J36" i="4" s="1"/>
  <c r="P36" i="4"/>
  <c r="L37" i="4"/>
  <c r="M37" i="4"/>
  <c r="N37" i="4"/>
  <c r="J37" i="4" s="1"/>
  <c r="P37" i="4"/>
  <c r="D37" i="4" s="1" a="1"/>
  <c r="D37" i="4" s="1"/>
  <c r="L38" i="4"/>
  <c r="M38" i="4"/>
  <c r="N38" i="4"/>
  <c r="J38" i="4" s="1"/>
  <c r="P38" i="4"/>
  <c r="D38" i="4" s="1" a="1"/>
  <c r="D38" i="4" s="1"/>
  <c r="D39" i="4" a="1"/>
  <c r="D39" i="4" s="1"/>
  <c r="L39" i="4"/>
  <c r="K39" i="4" s="1"/>
  <c r="M39" i="4"/>
  <c r="N39" i="4"/>
  <c r="J39" i="4" s="1"/>
  <c r="P39" i="4"/>
  <c r="L41" i="4"/>
  <c r="K41" i="4" s="1"/>
  <c r="M41" i="4"/>
  <c r="N41" i="4"/>
  <c r="J41" i="4" s="1"/>
  <c r="P41" i="4"/>
  <c r="D41" i="4" s="1" a="1"/>
  <c r="D41" i="4" s="1"/>
  <c r="L42" i="4"/>
  <c r="M42" i="4"/>
  <c r="N42" i="4"/>
  <c r="J42" i="4" s="1"/>
  <c r="P42" i="4"/>
  <c r="D42" i="4" s="1" a="1"/>
  <c r="D42" i="4" s="1"/>
  <c r="D43" i="4" a="1"/>
  <c r="D43" i="4" s="1"/>
  <c r="L43" i="4"/>
  <c r="M43" i="4"/>
  <c r="N43" i="4"/>
  <c r="J43" i="4" s="1"/>
  <c r="P43" i="4"/>
  <c r="L44" i="4"/>
  <c r="M44" i="4"/>
  <c r="N44" i="4"/>
  <c r="J44" i="4" s="1"/>
  <c r="P44" i="4"/>
  <c r="D44" i="4" s="1" a="1"/>
  <c r="D44" i="4" s="1"/>
  <c r="D45" i="4" a="1"/>
  <c r="D45" i="4" s="1"/>
  <c r="L45" i="4"/>
  <c r="K45" i="4" s="1"/>
  <c r="M45" i="4"/>
  <c r="N45" i="4"/>
  <c r="J45" i="4" s="1"/>
  <c r="P45" i="4"/>
  <c r="L46" i="4"/>
  <c r="M46" i="4"/>
  <c r="N46" i="4"/>
  <c r="J46" i="4" s="1"/>
  <c r="P46" i="4"/>
  <c r="D46" i="4" s="1" a="1"/>
  <c r="D46" i="4" s="1"/>
  <c r="L47" i="4"/>
  <c r="M47" i="4"/>
  <c r="N47" i="4"/>
  <c r="J47" i="4" s="1"/>
  <c r="P47" i="4"/>
  <c r="D47" i="4" s="1" a="1"/>
  <c r="D47" i="4" s="1"/>
  <c r="D48" i="4" a="1"/>
  <c r="D48" i="4" s="1"/>
  <c r="L48" i="4"/>
  <c r="K48" i="4" s="1"/>
  <c r="M48" i="4"/>
  <c r="N48" i="4"/>
  <c r="J48" i="4" s="1"/>
  <c r="P48" i="4"/>
  <c r="L49" i="4"/>
  <c r="K49" i="4" s="1"/>
  <c r="M49" i="4"/>
  <c r="N49" i="4"/>
  <c r="J49" i="4" s="1"/>
  <c r="P49" i="4"/>
  <c r="D49" i="4" s="1" a="1"/>
  <c r="D49" i="4" s="1"/>
  <c r="L51" i="4"/>
  <c r="K51" i="4" s="1"/>
  <c r="M51" i="4"/>
  <c r="N51" i="4"/>
  <c r="J51" i="4" s="1"/>
  <c r="P51" i="4"/>
  <c r="D51" i="4" s="1" a="1"/>
  <c r="D51" i="4" s="1"/>
  <c r="D53" i="4" a="1"/>
  <c r="D53" i="4" s="1"/>
  <c r="L53" i="4"/>
  <c r="M53" i="4"/>
  <c r="N53" i="4"/>
  <c r="J53" i="4" s="1"/>
  <c r="P53" i="4"/>
  <c r="L54" i="4"/>
  <c r="M54" i="4"/>
  <c r="N54" i="4"/>
  <c r="J54" i="4" s="1"/>
  <c r="P54" i="4"/>
  <c r="D54" i="4" s="1" a="1"/>
  <c r="D54" i="4" s="1"/>
  <c r="D56" i="4" a="1"/>
  <c r="D56" i="4" s="1"/>
  <c r="L56" i="4"/>
  <c r="K56" i="4" s="1"/>
  <c r="M56" i="4"/>
  <c r="N56" i="4"/>
  <c r="J56" i="4" s="1"/>
  <c r="P56" i="4"/>
  <c r="L57" i="4"/>
  <c r="K57" i="4" s="1"/>
  <c r="M57" i="4"/>
  <c r="N57" i="4"/>
  <c r="J57" i="4" s="1"/>
  <c r="P57" i="4"/>
  <c r="D57" i="4" s="1" a="1"/>
  <c r="D57" i="4" s="1"/>
  <c r="L59" i="4"/>
  <c r="K59" i="4" s="1"/>
  <c r="M59" i="4"/>
  <c r="N59" i="4"/>
  <c r="J59" i="4" s="1"/>
  <c r="P59" i="4"/>
  <c r="D59" i="4" s="1" a="1"/>
  <c r="D59" i="4" s="1"/>
  <c r="D61" i="4" a="1"/>
  <c r="D61" i="4" s="1"/>
  <c r="L61" i="4"/>
  <c r="K61" i="4" s="1"/>
  <c r="M61" i="4"/>
  <c r="N61" i="4"/>
  <c r="J61" i="4" s="1"/>
  <c r="P61" i="4"/>
  <c r="L62" i="4"/>
  <c r="K62" i="4" s="1"/>
  <c r="M62" i="4"/>
  <c r="N62" i="4"/>
  <c r="J62" i="4" s="1"/>
  <c r="P62" i="4"/>
  <c r="D62" i="4" s="1" a="1"/>
  <c r="D62" i="4" s="1"/>
  <c r="L63" i="4"/>
  <c r="M63" i="4"/>
  <c r="N63" i="4"/>
  <c r="J63" i="4" s="1"/>
  <c r="P63" i="4"/>
  <c r="D63" i="4" s="1" a="1"/>
  <c r="D63" i="4" s="1"/>
  <c r="D64" i="4" a="1"/>
  <c r="D64" i="4" s="1"/>
  <c r="L64" i="4"/>
  <c r="M64" i="4"/>
  <c r="N64" i="4"/>
  <c r="J64" i="4" s="1"/>
  <c r="P64" i="4"/>
  <c r="L65" i="4"/>
  <c r="M65" i="4"/>
  <c r="N65" i="4"/>
  <c r="J65" i="4" s="1"/>
  <c r="P65" i="4"/>
  <c r="D65" i="4" s="1" a="1"/>
  <c r="D65" i="4" s="1"/>
  <c r="D66" i="4" a="1"/>
  <c r="D66" i="4" s="1"/>
  <c r="L66" i="4"/>
  <c r="K66" i="4" s="1"/>
  <c r="M66" i="4"/>
  <c r="N66" i="4"/>
  <c r="J66" i="4" s="1"/>
  <c r="P66" i="4"/>
  <c r="L67" i="4"/>
  <c r="M67" i="4"/>
  <c r="N67" i="4"/>
  <c r="J67" i="4" s="1"/>
  <c r="P67" i="4"/>
  <c r="D67" i="4" s="1" a="1"/>
  <c r="D67" i="4" s="1"/>
  <c r="L68" i="4"/>
  <c r="M68" i="4"/>
  <c r="N68" i="4"/>
  <c r="J68" i="4" s="1"/>
  <c r="P68" i="4"/>
  <c r="D68" i="4" s="1" a="1"/>
  <c r="D68" i="4" s="1"/>
  <c r="D70" i="4" a="1"/>
  <c r="D70" i="4" s="1"/>
  <c r="L70" i="4"/>
  <c r="M70" i="4"/>
  <c r="N70" i="4"/>
  <c r="P70" i="4"/>
  <c r="L71" i="4"/>
  <c r="K71" i="4" s="1"/>
  <c r="M71" i="4"/>
  <c r="N71" i="4"/>
  <c r="P71" i="4"/>
  <c r="D71" i="4" s="1" a="1"/>
  <c r="D71" i="4" s="1"/>
  <c r="L72" i="4"/>
  <c r="M72" i="4"/>
  <c r="N72" i="4"/>
  <c r="J72" i="4" s="1"/>
  <c r="P72" i="4"/>
  <c r="D72" i="4" s="1" a="1"/>
  <c r="D72" i="4" s="1"/>
  <c r="D73" i="4" a="1"/>
  <c r="D73" i="4" s="1"/>
  <c r="L73" i="4"/>
  <c r="M73" i="4"/>
  <c r="N73" i="4"/>
  <c r="J73" i="4" s="1"/>
  <c r="P73" i="4"/>
  <c r="L75" i="4"/>
  <c r="M75" i="4"/>
  <c r="N75" i="4"/>
  <c r="J75" i="4" s="1"/>
  <c r="P75" i="4"/>
  <c r="D75" i="4" s="1" a="1"/>
  <c r="D75" i="4" s="1"/>
  <c r="D76" i="4" a="1"/>
  <c r="D76" i="4" s="1"/>
  <c r="L76" i="4"/>
  <c r="M76" i="4"/>
  <c r="N76" i="4"/>
  <c r="P76" i="4"/>
  <c r="L78" i="4"/>
  <c r="K78" i="4" s="1"/>
  <c r="M78" i="4"/>
  <c r="N78" i="4"/>
  <c r="J78" i="4" s="1"/>
  <c r="P78" i="4"/>
  <c r="D78" i="4" s="1" a="1"/>
  <c r="D78" i="4" s="1"/>
  <c r="L80" i="4"/>
  <c r="M80" i="4"/>
  <c r="N80" i="4"/>
  <c r="J80" i="4" s="1"/>
  <c r="P80" i="4"/>
  <c r="D80" i="4" s="1" a="1"/>
  <c r="D80" i="4" s="1"/>
  <c r="D81" i="4" a="1"/>
  <c r="D81" i="4" s="1"/>
  <c r="L81" i="4"/>
  <c r="M81" i="4"/>
  <c r="N81" i="4"/>
  <c r="P81" i="4"/>
  <c r="L83" i="4"/>
  <c r="M83" i="4"/>
  <c r="N83" i="4"/>
  <c r="P83" i="4"/>
  <c r="D83" i="4" s="1" a="1"/>
  <c r="D83" i="4" s="1"/>
  <c r="L84" i="4"/>
  <c r="M84" i="4"/>
  <c r="N84" i="4"/>
  <c r="J84" i="4" s="1"/>
  <c r="P84" i="4"/>
  <c r="D84" i="4" s="1" a="1"/>
  <c r="D84" i="4" s="1"/>
  <c r="D85" i="4" a="1"/>
  <c r="D85" i="4" s="1"/>
  <c r="L85" i="4"/>
  <c r="K85" i="4" s="1"/>
  <c r="M85" i="4"/>
  <c r="N85" i="4"/>
  <c r="J85" i="4" s="1"/>
  <c r="P85" i="4"/>
  <c r="L86" i="4"/>
  <c r="M86" i="4"/>
  <c r="N86" i="4"/>
  <c r="J86" i="4" s="1"/>
  <c r="P86" i="4"/>
  <c r="D86" i="4" s="1" a="1"/>
  <c r="D86" i="4" s="1"/>
  <c r="D87" i="4" a="1"/>
  <c r="D87" i="4" s="1"/>
  <c r="L87" i="4"/>
  <c r="M87" i="4"/>
  <c r="N87" i="4"/>
  <c r="P87" i="4"/>
  <c r="L88" i="4"/>
  <c r="M88" i="4"/>
  <c r="N88" i="4"/>
  <c r="J88" i="4" s="1"/>
  <c r="P88" i="4"/>
  <c r="D88" i="4" s="1" a="1"/>
  <c r="D88" i="4" s="1"/>
  <c r="L89" i="4"/>
  <c r="K89" i="4" s="1"/>
  <c r="M89" i="4"/>
  <c r="N89" i="4"/>
  <c r="J89" i="4" s="1"/>
  <c r="P89" i="4"/>
  <c r="D89" i="4" s="1" a="1"/>
  <c r="D89" i="4" s="1"/>
  <c r="D90" i="4" a="1"/>
  <c r="D90" i="4" s="1"/>
  <c r="L90" i="4"/>
  <c r="K90" i="4" s="1"/>
  <c r="M90" i="4"/>
  <c r="N90" i="4"/>
  <c r="P90" i="4"/>
  <c r="L92" i="4"/>
  <c r="K92" i="4" s="1"/>
  <c r="M92" i="4"/>
  <c r="N92" i="4"/>
  <c r="P92" i="4"/>
  <c r="D92" i="4" s="1" a="1"/>
  <c r="D92" i="4" s="1"/>
  <c r="L93" i="4"/>
  <c r="K93" i="4" s="1"/>
  <c r="M93" i="4"/>
  <c r="N93" i="4"/>
  <c r="J93" i="4" s="1"/>
  <c r="P93" i="4"/>
  <c r="D93" i="4" s="1" a="1"/>
  <c r="D93" i="4" s="1"/>
  <c r="D95" i="4" a="1"/>
  <c r="D95" i="4" s="1"/>
  <c r="L95" i="4"/>
  <c r="K95" i="4" s="1"/>
  <c r="M95" i="4"/>
  <c r="N95" i="4"/>
  <c r="J95" i="4" s="1"/>
  <c r="P95" i="4"/>
  <c r="L96" i="4"/>
  <c r="K96" i="4" s="1"/>
  <c r="M96" i="4"/>
  <c r="N96" i="4"/>
  <c r="J96" i="4" s="1"/>
  <c r="P96" i="4"/>
  <c r="D96" i="4" s="1" a="1"/>
  <c r="D96" i="4" s="1"/>
  <c r="D97" i="4" a="1"/>
  <c r="D97" i="4" s="1"/>
  <c r="L97" i="4"/>
  <c r="K97" i="4" s="1"/>
  <c r="M97" i="4"/>
  <c r="N97" i="4"/>
  <c r="P97" i="4"/>
  <c r="L98" i="4"/>
  <c r="K98" i="4" s="1"/>
  <c r="M98" i="4"/>
  <c r="N98" i="4"/>
  <c r="J98" i="4" s="1"/>
  <c r="P98" i="4"/>
  <c r="D98" i="4" s="1" a="1"/>
  <c r="D98" i="4" s="1"/>
  <c r="L99" i="4"/>
  <c r="K99" i="4" s="1"/>
  <c r="M99" i="4"/>
  <c r="N99" i="4"/>
  <c r="J99" i="4" s="1"/>
  <c r="P99" i="4"/>
  <c r="D99" i="4" s="1" a="1"/>
  <c r="D99" i="4" s="1"/>
  <c r="D100" i="4" a="1"/>
  <c r="D100" i="4" s="1"/>
  <c r="L100" i="4"/>
  <c r="K100" i="4" s="1"/>
  <c r="M100" i="4"/>
  <c r="N100" i="4"/>
  <c r="P100" i="4"/>
  <c r="L101" i="4"/>
  <c r="K101" i="4" s="1"/>
  <c r="M101" i="4"/>
  <c r="N101" i="4"/>
  <c r="P101" i="4"/>
  <c r="D101" i="4" s="1" a="1"/>
  <c r="D101" i="4" s="1"/>
  <c r="L102" i="4"/>
  <c r="K102" i="4" s="1"/>
  <c r="M102" i="4"/>
  <c r="N102" i="4"/>
  <c r="J102" i="4" s="1"/>
  <c r="P102" i="4"/>
  <c r="D102" i="4" s="1" a="1"/>
  <c r="D102" i="4" s="1"/>
  <c r="D103" i="4" a="1"/>
  <c r="D103" i="4" s="1"/>
  <c r="L103" i="4"/>
  <c r="K103" i="4" s="1"/>
  <c r="M103" i="4"/>
  <c r="N103" i="4"/>
  <c r="J103" i="4" s="1"/>
  <c r="P103" i="4"/>
  <c r="L105" i="4"/>
  <c r="M105" i="4"/>
  <c r="N105" i="4"/>
  <c r="J105" i="4" s="1"/>
  <c r="P105" i="4"/>
  <c r="D105" i="4" s="1" a="1"/>
  <c r="D105" i="4" s="1"/>
  <c r="D106" i="4" a="1"/>
  <c r="D106" i="4" s="1"/>
  <c r="L106" i="4"/>
  <c r="M106" i="4"/>
  <c r="N106" i="4"/>
  <c r="P106" i="4"/>
  <c r="L107" i="4"/>
  <c r="M107" i="4"/>
  <c r="N107" i="4"/>
  <c r="J107" i="4" s="1"/>
  <c r="P107" i="4"/>
  <c r="D107" i="4" s="1" a="1"/>
  <c r="D107" i="4" s="1"/>
  <c r="L108" i="4"/>
  <c r="K108" i="4" s="1"/>
  <c r="M108" i="4"/>
  <c r="N108" i="4"/>
  <c r="J108" i="4" s="1"/>
  <c r="P108" i="4"/>
  <c r="D108" i="4" s="1" a="1"/>
  <c r="D108" i="4" s="1"/>
  <c r="D109" i="4" a="1"/>
  <c r="D109" i="4" s="1"/>
  <c r="L109" i="4"/>
  <c r="M109" i="4"/>
  <c r="N109" i="4"/>
  <c r="P109" i="4"/>
  <c r="L110" i="4"/>
  <c r="M110" i="4"/>
  <c r="N110" i="4"/>
  <c r="P110" i="4"/>
  <c r="D110" i="4" s="1" a="1"/>
  <c r="D110" i="4" s="1"/>
  <c r="L111" i="4"/>
  <c r="M111" i="4"/>
  <c r="N111" i="4"/>
  <c r="P111" i="4"/>
  <c r="D111" i="4" s="1" a="1"/>
  <c r="D111" i="4" s="1"/>
  <c r="D112" i="4" a="1"/>
  <c r="D112" i="4" s="1"/>
  <c r="L112" i="4"/>
  <c r="K112" i="4" s="1"/>
  <c r="M112" i="4"/>
  <c r="N112" i="4"/>
  <c r="J112" i="4" s="1"/>
  <c r="P112" i="4"/>
  <c r="L113" i="4"/>
  <c r="K113" i="4" s="1"/>
  <c r="M113" i="4"/>
  <c r="N113" i="4"/>
  <c r="J113" i="4" s="1"/>
  <c r="P113" i="4"/>
  <c r="D113" i="4" s="1" a="1"/>
  <c r="D113" i="4" s="1"/>
  <c r="D114" i="4" a="1"/>
  <c r="D114" i="4"/>
  <c r="L114" i="4"/>
  <c r="M114" i="4"/>
  <c r="N114" i="4"/>
  <c r="J114" i="4" s="1"/>
  <c r="K114" i="4" s="1"/>
  <c r="P114" i="4"/>
  <c r="K115" i="4"/>
  <c r="L115" i="4"/>
  <c r="M115" i="4"/>
  <c r="N115" i="4"/>
  <c r="J115" i="4" s="1"/>
  <c r="P115" i="4"/>
  <c r="D115" i="4" s="1" a="1"/>
  <c r="D115" i="4" s="1"/>
  <c r="K116" i="4"/>
  <c r="L116" i="4"/>
  <c r="M116" i="4"/>
  <c r="N116" i="4"/>
  <c r="J116" i="4" s="1"/>
  <c r="P116" i="4"/>
  <c r="D116" i="4" s="1" a="1"/>
  <c r="D116" i="4" s="1"/>
  <c r="L118" i="4"/>
  <c r="M118" i="4"/>
  <c r="N118" i="4"/>
  <c r="J118" i="4" s="1"/>
  <c r="K118" i="4" s="1"/>
  <c r="P118" i="4"/>
  <c r="D118" i="4" s="1" a="1"/>
  <c r="D118" i="4" s="1"/>
  <c r="K119" i="4"/>
  <c r="L119" i="4"/>
  <c r="M119" i="4"/>
  <c r="N119" i="4"/>
  <c r="J119" i="4" s="1"/>
  <c r="P119" i="4"/>
  <c r="D119" i="4" s="1" a="1"/>
  <c r="D119" i="4" s="1"/>
  <c r="L121" i="4"/>
  <c r="M121" i="4"/>
  <c r="N121" i="4"/>
  <c r="J121" i="4" s="1"/>
  <c r="K121" i="4" s="1"/>
  <c r="P121" i="4"/>
  <c r="D121" i="4" s="1" a="1"/>
  <c r="D121" i="4" s="1"/>
  <c r="K122" i="4"/>
  <c r="L122" i="4"/>
  <c r="M122" i="4"/>
  <c r="N122" i="4"/>
  <c r="J122" i="4" s="1"/>
  <c r="P122" i="4"/>
  <c r="D122" i="4" s="1" a="1"/>
  <c r="D122" i="4" s="1"/>
  <c r="L123" i="4"/>
  <c r="M123" i="4"/>
  <c r="N123" i="4"/>
  <c r="J123" i="4" s="1"/>
  <c r="K123" i="4" s="1"/>
  <c r="P123" i="4"/>
  <c r="D123" i="4" s="1" a="1"/>
  <c r="D123" i="4" s="1"/>
  <c r="L124" i="4"/>
  <c r="M124" i="4"/>
  <c r="N124" i="4"/>
  <c r="J124" i="4" s="1"/>
  <c r="K124" i="4" s="1"/>
  <c r="P124" i="4"/>
  <c r="D124" i="4" s="1" a="1"/>
  <c r="D124" i="4" s="1"/>
  <c r="L125" i="4"/>
  <c r="M125" i="4"/>
  <c r="N125" i="4"/>
  <c r="J125" i="4" s="1"/>
  <c r="K125" i="4" s="1"/>
  <c r="P125" i="4"/>
  <c r="D125" i="4" s="1" a="1"/>
  <c r="D125" i="4" s="1"/>
  <c r="L126" i="4"/>
  <c r="M126" i="4"/>
  <c r="N126" i="4"/>
  <c r="J126" i="4" s="1"/>
  <c r="K126" i="4" s="1"/>
  <c r="P126" i="4"/>
  <c r="D126" i="4" s="1" a="1"/>
  <c r="D126" i="4" s="1"/>
  <c r="L127" i="4"/>
  <c r="M127" i="4"/>
  <c r="N127" i="4"/>
  <c r="J127" i="4" s="1"/>
  <c r="K127" i="4" s="1"/>
  <c r="P127" i="4"/>
  <c r="D127" i="4" s="1" a="1"/>
  <c r="D127" i="4" s="1"/>
  <c r="L128" i="4"/>
  <c r="M128" i="4"/>
  <c r="N128" i="4"/>
  <c r="J128" i="4" s="1"/>
  <c r="K128" i="4" s="1"/>
  <c r="P128" i="4"/>
  <c r="D128" i="4" s="1" a="1"/>
  <c r="D128" i="4" s="1"/>
  <c r="L129" i="4"/>
  <c r="M129" i="4"/>
  <c r="N129" i="4"/>
  <c r="J129" i="4" s="1"/>
  <c r="K129" i="4" s="1"/>
  <c r="P129" i="4"/>
  <c r="D129" i="4" s="1" a="1"/>
  <c r="D129" i="4" s="1"/>
  <c r="K130" i="4"/>
  <c r="L130" i="4"/>
  <c r="M130" i="4"/>
  <c r="N130" i="4"/>
  <c r="J130" i="4" s="1"/>
  <c r="P130" i="4"/>
  <c r="D130" i="4" s="1" a="1"/>
  <c r="D130" i="4" s="1"/>
  <c r="K131" i="4"/>
  <c r="L131" i="4"/>
  <c r="M131" i="4"/>
  <c r="N131" i="4"/>
  <c r="J131" i="4" s="1"/>
  <c r="P131" i="4"/>
  <c r="D131" i="4" s="1" a="1"/>
  <c r="D131" i="4" s="1"/>
  <c r="K132" i="4"/>
  <c r="L132" i="4"/>
  <c r="M132" i="4"/>
  <c r="N132" i="4"/>
  <c r="J132" i="4" s="1"/>
  <c r="P132" i="4"/>
  <c r="D132" i="4" s="1" a="1"/>
  <c r="D132" i="4" s="1"/>
  <c r="K133" i="4"/>
  <c r="L133" i="4"/>
  <c r="M133" i="4"/>
  <c r="N133" i="4"/>
  <c r="J133" i="4" s="1"/>
  <c r="P133" i="4"/>
  <c r="D133" i="4" s="1" a="1"/>
  <c r="D133" i="4" s="1"/>
  <c r="K134" i="4"/>
  <c r="L134" i="4"/>
  <c r="M134" i="4"/>
  <c r="N134" i="4"/>
  <c r="J134" i="4" s="1"/>
  <c r="P134" i="4"/>
  <c r="D134" i="4" s="1" a="1"/>
  <c r="D134" i="4" s="1"/>
  <c r="K135" i="4"/>
  <c r="L135" i="4"/>
  <c r="M135" i="4"/>
  <c r="N135" i="4"/>
  <c r="J135" i="4" s="1"/>
  <c r="P135" i="4"/>
  <c r="D135" i="4" s="1" a="1"/>
  <c r="D135" i="4" s="1"/>
  <c r="L137" i="4"/>
  <c r="M137" i="4"/>
  <c r="N137" i="4"/>
  <c r="J137" i="4" s="1"/>
  <c r="K137" i="4" s="1"/>
  <c r="P137" i="4"/>
  <c r="D137" i="4" s="1" a="1"/>
  <c r="D137" i="4" s="1"/>
  <c r="L138" i="4"/>
  <c r="M138" i="4"/>
  <c r="N138" i="4"/>
  <c r="J138" i="4" s="1"/>
  <c r="K138" i="4" s="1"/>
  <c r="P138" i="4"/>
  <c r="D138" i="4" s="1" a="1"/>
  <c r="D138" i="4" s="1"/>
  <c r="L139" i="4"/>
  <c r="M139" i="4"/>
  <c r="N139" i="4"/>
  <c r="J139" i="4" s="1"/>
  <c r="K139" i="4" s="1"/>
  <c r="P139" i="4"/>
  <c r="D139" i="4" s="1" a="1"/>
  <c r="D139" i="4" s="1"/>
  <c r="J110" i="4" l="1"/>
  <c r="J101" i="4"/>
  <c r="J92" i="4"/>
  <c r="J83" i="4"/>
  <c r="K83" i="4" s="1"/>
  <c r="K73" i="4"/>
  <c r="J71" i="4"/>
  <c r="K64" i="4"/>
  <c r="K53" i="4"/>
  <c r="K43" i="4"/>
  <c r="K23" i="4"/>
  <c r="K107" i="4"/>
  <c r="K88" i="4"/>
  <c r="K67" i="4"/>
  <c r="K46" i="4"/>
  <c r="K37" i="4"/>
  <c r="K21" i="4"/>
  <c r="K19" i="4"/>
  <c r="K17" i="4"/>
  <c r="J111" i="4"/>
  <c r="K111" i="4" s="1"/>
  <c r="K105" i="4"/>
  <c r="K86" i="4"/>
  <c r="K75" i="4"/>
  <c r="K65" i="4"/>
  <c r="K54" i="4"/>
  <c r="K44" i="4"/>
  <c r="K34" i="4"/>
  <c r="K24" i="4"/>
  <c r="J106" i="4"/>
  <c r="J97" i="4"/>
  <c r="J87" i="4"/>
  <c r="K87" i="4" s="1"/>
  <c r="K80" i="4"/>
  <c r="J76" i="4"/>
  <c r="K76" i="4" s="1"/>
  <c r="K68" i="4"/>
  <c r="K47" i="4"/>
  <c r="K38" i="4"/>
  <c r="K110" i="4"/>
  <c r="J109" i="4"/>
  <c r="K109" i="4" s="1"/>
  <c r="J100" i="4"/>
  <c r="J90" i="4"/>
  <c r="K84" i="4"/>
  <c r="J81" i="4"/>
  <c r="K81" i="4" s="1"/>
  <c r="K72" i="4"/>
  <c r="J70" i="4"/>
  <c r="K70" i="4" s="1"/>
  <c r="K63" i="4"/>
  <c r="K42" i="4"/>
  <c r="K22" i="4"/>
  <c r="K20" i="4"/>
  <c r="K18" i="4"/>
  <c r="K16" i="4"/>
  <c r="K9" i="4"/>
  <c r="K106" i="4"/>
  <c r="C194" i="20"/>
  <c r="C199" i="20" s="1"/>
  <c r="C237" i="24"/>
  <c r="C235" i="24"/>
  <c r="C234" i="24"/>
  <c r="C233" i="24"/>
  <c r="C190" i="20"/>
  <c r="I237" i="24"/>
  <c r="I238" i="24" s="1"/>
  <c r="J195" i="20"/>
  <c r="G195" i="20"/>
  <c r="I195" i="20" s="1"/>
  <c r="C191" i="20"/>
  <c r="C229" i="24"/>
  <c r="C232" i="24"/>
  <c r="C177" i="20"/>
  <c r="C179" i="20"/>
  <c r="C181" i="20" s="1"/>
  <c r="I241" i="3"/>
  <c r="I248" i="24"/>
  <c r="J233" i="24"/>
  <c r="G233" i="24"/>
  <c r="I233" i="24" s="1"/>
  <c r="K233" i="24" s="1"/>
  <c r="C228" i="24"/>
  <c r="G262" i="13"/>
  <c r="I262" i="13" s="1"/>
  <c r="C222" i="3"/>
  <c r="C221" i="3"/>
  <c r="C225" i="3" s="1"/>
  <c r="J226" i="3"/>
  <c r="G226" i="3"/>
  <c r="I226" i="3" s="1"/>
  <c r="G227" i="3"/>
  <c r="B353" i="13" a="1"/>
  <c r="B353" i="13" s="1"/>
  <c r="C230" i="3" l="1"/>
  <c r="C227" i="3"/>
  <c r="C228" i="3"/>
  <c r="C226" i="3"/>
  <c r="C195" i="20"/>
  <c r="K195" i="20" s="1"/>
  <c r="C197" i="20"/>
  <c r="C238" i="13" l="1"/>
  <c r="C221" i="13"/>
  <c r="C72" i="13"/>
  <c r="C73" i="13" s="1"/>
  <c r="C212" i="13"/>
  <c r="C325" i="24"/>
  <c r="C326" i="24"/>
  <c r="C327" i="24"/>
  <c r="C328" i="24"/>
  <c r="C329" i="24"/>
  <c r="C330" i="24"/>
  <c r="C353" i="13"/>
  <c r="D353" i="13"/>
  <c r="I349" i="13"/>
  <c r="D340" i="13"/>
  <c r="G319" i="3"/>
  <c r="H9" i="9"/>
  <c r="H10" i="9"/>
  <c r="H11" i="9"/>
  <c r="C140" i="20"/>
  <c r="C142" i="20" s="1"/>
  <c r="C160" i="20"/>
  <c r="C162" i="20"/>
  <c r="C168" i="20" s="1"/>
  <c r="C39" i="20"/>
  <c r="C78" i="24"/>
  <c r="C315" i="13"/>
  <c r="B315" i="13"/>
  <c r="J320" i="13"/>
  <c r="C87" i="13"/>
  <c r="C88" i="13" s="1"/>
  <c r="C100" i="13"/>
  <c r="C101" i="13" s="1"/>
  <c r="C111" i="13"/>
  <c r="C121" i="13" s="1"/>
  <c r="C114" i="13"/>
  <c r="C115" i="13" s="1"/>
  <c r="C126" i="13"/>
  <c r="C125" i="13"/>
  <c r="C128" i="13" s="1"/>
  <c r="C134" i="13"/>
  <c r="C101" i="3"/>
  <c r="C72" i="3"/>
  <c r="C67" i="24"/>
  <c r="C213" i="24"/>
  <c r="C204" i="24"/>
  <c r="C196" i="24"/>
  <c r="C198" i="24" s="1"/>
  <c r="C200" i="24" s="1"/>
  <c r="C179" i="24"/>
  <c r="C181" i="24" s="1"/>
  <c r="C187" i="24" s="1"/>
  <c r="C159" i="24"/>
  <c r="C161" i="24" s="1"/>
  <c r="C170" i="24" s="1"/>
  <c r="C247" i="13"/>
  <c r="C249" i="13" s="1"/>
  <c r="C251" i="13" s="1"/>
  <c r="C230" i="13"/>
  <c r="C232" i="13"/>
  <c r="C210" i="13"/>
  <c r="C188" i="3"/>
  <c r="C190" i="3" s="1"/>
  <c r="C206" i="3"/>
  <c r="C212" i="3" s="1"/>
  <c r="I212" i="3" s="1"/>
  <c r="C196" i="3"/>
  <c r="G158" i="3"/>
  <c r="BF42" i="14"/>
  <c r="C67" i="20"/>
  <c r="B59" i="20"/>
  <c r="C151" i="20" l="1"/>
  <c r="C324" i="24"/>
  <c r="C236" i="13"/>
  <c r="C215" i="13"/>
  <c r="B62" i="20"/>
  <c r="B63" i="20"/>
  <c r="B61" i="20"/>
  <c r="B60" i="20"/>
  <c r="B65" i="20"/>
  <c r="B64" i="20"/>
  <c r="E172" i="8"/>
  <c r="B172" i="8"/>
  <c r="H67" i="20"/>
  <c r="C172" i="8"/>
  <c r="B67" i="20"/>
  <c r="E32" i="8" l="1"/>
  <c r="B12" i="11" l="1"/>
  <c r="B13" i="11"/>
  <c r="B14" i="11"/>
  <c r="B15" i="11"/>
  <c r="B16" i="11"/>
  <c r="B17" i="11"/>
  <c r="B18" i="11"/>
  <c r="B19" i="11"/>
  <c r="B20" i="11"/>
  <c r="B21" i="11"/>
  <c r="B22" i="11"/>
  <c r="B23" i="11"/>
  <c r="B24" i="11"/>
  <c r="C357" i="13"/>
  <c r="C356" i="13"/>
  <c r="C355" i="13"/>
  <c r="C354" i="13"/>
  <c r="C324" i="3"/>
  <c r="C323" i="3"/>
  <c r="C322" i="3"/>
  <c r="C321" i="3"/>
  <c r="C320" i="3"/>
  <c r="C319" i="3"/>
  <c r="C151" i="3"/>
  <c r="C153" i="3" s="1"/>
  <c r="C171" i="3"/>
  <c r="C173" i="3" s="1"/>
  <c r="E148" i="7"/>
  <c r="E147" i="7"/>
  <c r="E146" i="7"/>
  <c r="E145" i="7"/>
  <c r="E144" i="7"/>
  <c r="E143" i="7"/>
  <c r="E142" i="7"/>
  <c r="E141" i="7"/>
  <c r="E140" i="7"/>
  <c r="E139" i="7"/>
  <c r="E138" i="7"/>
  <c r="E137" i="7"/>
  <c r="E110" i="7"/>
  <c r="C177" i="3" l="1"/>
  <c r="C179" i="3"/>
  <c r="C162" i="3"/>
  <c r="C318" i="3"/>
  <c r="E165" i="7" l="1"/>
  <c r="E14" i="7"/>
  <c r="E13" i="7"/>
  <c r="E12" i="7"/>
  <c r="E11" i="7"/>
  <c r="E10" i="7"/>
  <c r="E9" i="7"/>
  <c r="E24" i="7"/>
  <c r="E23" i="7"/>
  <c r="E22" i="7"/>
  <c r="E21" i="7"/>
  <c r="E20" i="7"/>
  <c r="E19" i="7"/>
  <c r="E18" i="7"/>
  <c r="E17" i="7"/>
  <c r="E56" i="7"/>
  <c r="E55" i="7"/>
  <c r="E54" i="7"/>
  <c r="E53" i="7"/>
  <c r="E52" i="7"/>
  <c r="E51" i="7"/>
  <c r="E50" i="7"/>
  <c r="E49" i="7"/>
  <c r="E48" i="7"/>
  <c r="E47" i="7"/>
  <c r="E46" i="7"/>
  <c r="E45" i="7"/>
  <c r="E44" i="7"/>
  <c r="E42" i="7"/>
  <c r="E41" i="7"/>
  <c r="E40" i="7"/>
  <c r="E39" i="7"/>
  <c r="E38" i="7"/>
  <c r="E37" i="7"/>
  <c r="E36" i="7"/>
  <c r="E35" i="7"/>
  <c r="E34" i="7"/>
  <c r="E33" i="7"/>
  <c r="E32" i="7"/>
  <c r="E31" i="7"/>
  <c r="E30" i="7"/>
  <c r="E29" i="7"/>
  <c r="E28" i="7"/>
  <c r="E27" i="7"/>
  <c r="E61" i="7"/>
  <c r="E60" i="7"/>
  <c r="E59" i="7"/>
  <c r="E65" i="7"/>
  <c r="E69" i="7"/>
  <c r="E68" i="7"/>
  <c r="E73" i="7"/>
  <c r="E72" i="7"/>
  <c r="E79" i="7"/>
  <c r="E78" i="7"/>
  <c r="E77" i="7"/>
  <c r="E76" i="7"/>
  <c r="E100" i="7"/>
  <c r="E99" i="7"/>
  <c r="E98" i="7"/>
  <c r="E97" i="7"/>
  <c r="E94" i="7"/>
  <c r="E93" i="7"/>
  <c r="E92" i="7"/>
  <c r="E89" i="7"/>
  <c r="E88" i="7"/>
  <c r="E87" i="7"/>
  <c r="E86" i="7"/>
  <c r="E85" i="7"/>
  <c r="E84" i="7"/>
  <c r="E83" i="7"/>
  <c r="E82" i="7"/>
  <c r="E109" i="7"/>
  <c r="E108" i="7"/>
  <c r="E107" i="7"/>
  <c r="E106" i="7"/>
  <c r="E105" i="7"/>
  <c r="E104" i="7"/>
  <c r="E103" i="7"/>
  <c r="E115" i="7"/>
  <c r="E114" i="7"/>
  <c r="E113" i="7"/>
  <c r="E120" i="7"/>
  <c r="E119" i="7"/>
  <c r="E118" i="7"/>
  <c r="E123" i="7"/>
  <c r="E126" i="7"/>
  <c r="E134" i="7"/>
  <c r="E133" i="7"/>
  <c r="E132" i="7"/>
  <c r="E131" i="7"/>
  <c r="E130" i="7"/>
  <c r="E129" i="7"/>
  <c r="E159" i="7"/>
  <c r="E158" i="7"/>
  <c r="E157" i="7"/>
  <c r="E156" i="7"/>
  <c r="E155" i="7"/>
  <c r="E154" i="7"/>
  <c r="E152" i="7"/>
  <c r="E151" i="7"/>
  <c r="E179" i="7"/>
  <c r="E176" i="7"/>
  <c r="E175" i="7"/>
  <c r="E174" i="7"/>
  <c r="E173" i="7"/>
  <c r="E172" i="7"/>
  <c r="E171" i="7"/>
  <c r="E170" i="7"/>
  <c r="E169" i="7"/>
  <c r="E168" i="7"/>
  <c r="E164" i="7"/>
  <c r="E163" i="7"/>
  <c r="E162" i="7"/>
  <c r="D206" i="8" l="1"/>
  <c r="D205" i="8"/>
  <c r="D195" i="8"/>
  <c r="D194" i="8"/>
  <c r="H238" i="20"/>
  <c r="H248" i="20"/>
  <c r="H230" i="20"/>
  <c r="H220" i="20"/>
  <c r="H210" i="20"/>
  <c r="H181" i="20"/>
  <c r="H168" i="20"/>
  <c r="H151" i="20"/>
  <c r="H131" i="20"/>
  <c r="H121" i="20"/>
  <c r="H111" i="20"/>
  <c r="H104" i="20"/>
  <c r="H90" i="20"/>
  <c r="H55" i="20"/>
  <c r="H47" i="20"/>
  <c r="H39" i="20"/>
  <c r="H199" i="20"/>
  <c r="H22" i="20"/>
  <c r="H30" i="20"/>
  <c r="B36" i="20"/>
  <c r="B35" i="20"/>
  <c r="B34" i="20"/>
  <c r="E27" i="26"/>
  <c r="F27" i="26"/>
  <c r="G27" i="26"/>
  <c r="H27" i="26"/>
  <c r="I27" i="26"/>
  <c r="J27" i="26"/>
  <c r="K27" i="26"/>
  <c r="L27" i="26"/>
  <c r="M27" i="26"/>
  <c r="N27" i="26"/>
  <c r="D27" i="26"/>
  <c r="D26" i="20"/>
  <c r="G26" i="20"/>
  <c r="I26" i="20" s="1"/>
  <c r="B26" i="20"/>
  <c r="B27" i="20" l="1"/>
  <c r="G27" i="20"/>
  <c r="I27" i="20" s="1"/>
  <c r="K27" i="20" s="1"/>
  <c r="J28" i="20"/>
  <c r="G28" i="20"/>
  <c r="I28" i="20" s="1"/>
  <c r="K28" i="20" s="1"/>
  <c r="J27" i="20"/>
  <c r="D28" i="20"/>
  <c r="B28" i="20"/>
  <c r="D27" i="20"/>
  <c r="J26" i="20"/>
  <c r="K26" i="20"/>
  <c r="C30" i="20"/>
  <c r="I30" i="20" s="1"/>
  <c r="B20" i="20"/>
  <c r="E201" i="8" l="1"/>
  <c r="B201" i="8"/>
  <c r="E188" i="8"/>
  <c r="D188" i="8"/>
  <c r="C188" i="8"/>
  <c r="B188" i="8"/>
  <c r="B187" i="8"/>
  <c r="E171" i="8"/>
  <c r="B171" i="8"/>
  <c r="E170" i="8"/>
  <c r="B170" i="8"/>
  <c r="E169" i="8"/>
  <c r="B169" i="8"/>
  <c r="E168" i="8"/>
  <c r="B168" i="8"/>
  <c r="B55" i="20"/>
  <c r="B47" i="20"/>
  <c r="B39" i="20"/>
  <c r="B30" i="20"/>
  <c r="E153" i="8"/>
  <c r="E152" i="8"/>
  <c r="F115" i="8"/>
  <c r="E140" i="8"/>
  <c r="D140" i="8"/>
  <c r="C140" i="8"/>
  <c r="B140" i="8"/>
  <c r="B139" i="8"/>
  <c r="E138" i="8"/>
  <c r="B138" i="8"/>
  <c r="E137" i="8"/>
  <c r="B137" i="8"/>
  <c r="E136" i="8"/>
  <c r="B136" i="8"/>
  <c r="E135" i="8"/>
  <c r="B135" i="8"/>
  <c r="E134" i="8"/>
  <c r="B134" i="8"/>
  <c r="E133" i="8"/>
  <c r="B133" i="8"/>
  <c r="E132" i="8"/>
  <c r="B132" i="8"/>
  <c r="E131" i="8"/>
  <c r="B131" i="8"/>
  <c r="E130" i="8"/>
  <c r="B130" i="8"/>
  <c r="E129" i="8"/>
  <c r="B129" i="8"/>
  <c r="E128" i="8"/>
  <c r="B128" i="8"/>
  <c r="E127" i="8"/>
  <c r="B127" i="8"/>
  <c r="E126" i="8"/>
  <c r="B126" i="8"/>
  <c r="E125" i="8"/>
  <c r="B125" i="8"/>
  <c r="E124" i="8"/>
  <c r="B124" i="8"/>
  <c r="E123" i="8"/>
  <c r="B123" i="8"/>
  <c r="E122" i="8"/>
  <c r="B122" i="8"/>
  <c r="E121" i="8"/>
  <c r="B121" i="8"/>
  <c r="E120" i="8"/>
  <c r="B120" i="8"/>
  <c r="E119" i="8"/>
  <c r="B119" i="8"/>
  <c r="E118" i="8"/>
  <c r="B118" i="8"/>
  <c r="E117" i="8"/>
  <c r="B117" i="8"/>
  <c r="E116" i="8"/>
  <c r="B116" i="8"/>
  <c r="D115" i="8"/>
  <c r="E115" i="8"/>
  <c r="C115" i="8"/>
  <c r="B115" i="8"/>
  <c r="B218" i="8" s="1"/>
  <c r="B166" i="8"/>
  <c r="K4" i="26"/>
  <c r="J4" i="26"/>
  <c r="I4" i="26"/>
  <c r="H4" i="26"/>
  <c r="G4" i="26"/>
  <c r="F4" i="26"/>
  <c r="E4" i="26"/>
  <c r="B2" i="26"/>
  <c r="E330" i="24"/>
  <c r="E329" i="24"/>
  <c r="E328" i="24"/>
  <c r="E327" i="24"/>
  <c r="E326" i="24"/>
  <c r="E325" i="24"/>
  <c r="I319" i="24"/>
  <c r="I318" i="24"/>
  <c r="I317" i="24"/>
  <c r="I316" i="24"/>
  <c r="I315" i="24"/>
  <c r="I314" i="24"/>
  <c r="B311" i="24" a="1"/>
  <c r="B311" i="24" s="1"/>
  <c r="D297" i="24"/>
  <c r="E139" i="8" s="1"/>
  <c r="B297" i="24"/>
  <c r="J295" i="24"/>
  <c r="I295" i="24"/>
  <c r="J294" i="24"/>
  <c r="I294" i="24"/>
  <c r="J293" i="24"/>
  <c r="I293" i="24"/>
  <c r="J292" i="24"/>
  <c r="I292" i="24"/>
  <c r="J291" i="24"/>
  <c r="I291" i="24"/>
  <c r="J290" i="24"/>
  <c r="I290" i="24"/>
  <c r="B286" i="24"/>
  <c r="I284" i="24"/>
  <c r="I283" i="24"/>
  <c r="I282" i="24"/>
  <c r="C276" i="24"/>
  <c r="C137" i="8" s="1"/>
  <c r="B276" i="24"/>
  <c r="B268" i="24"/>
  <c r="C268" i="24"/>
  <c r="B258" i="24"/>
  <c r="B248" i="24"/>
  <c r="C245" i="24"/>
  <c r="B237" i="24"/>
  <c r="J235" i="24"/>
  <c r="J234" i="24"/>
  <c r="B219" i="24"/>
  <c r="B209" i="24"/>
  <c r="B200" i="24"/>
  <c r="B187" i="24"/>
  <c r="B170" i="24"/>
  <c r="B150" i="24"/>
  <c r="J148" i="24"/>
  <c r="J147" i="24"/>
  <c r="J146" i="24"/>
  <c r="J145" i="24"/>
  <c r="J144" i="24"/>
  <c r="B140" i="24"/>
  <c r="B130" i="24"/>
  <c r="B123" i="24"/>
  <c r="B109" i="24"/>
  <c r="B86" i="24"/>
  <c r="E83" i="24"/>
  <c r="B62" i="24"/>
  <c r="B72" i="24"/>
  <c r="B45" i="24"/>
  <c r="C45" i="24"/>
  <c r="C118" i="8" s="1"/>
  <c r="B39" i="24"/>
  <c r="B55" i="24"/>
  <c r="C158" i="8"/>
  <c r="C157" i="8"/>
  <c r="C148" i="8"/>
  <c r="B2" i="24"/>
  <c r="C205" i="8" l="1"/>
  <c r="F205" i="8" s="1"/>
  <c r="C194" i="8"/>
  <c r="F194" i="8" s="1"/>
  <c r="C195" i="8"/>
  <c r="F195" i="8" s="1"/>
  <c r="C206" i="8"/>
  <c r="F206" i="8" s="1"/>
  <c r="C197" i="8"/>
  <c r="F197" i="8" s="1"/>
  <c r="C208" i="8"/>
  <c r="F208" i="8" s="1"/>
  <c r="C55" i="20"/>
  <c r="C171" i="8" s="1"/>
  <c r="B225" i="8"/>
  <c r="B232" i="8"/>
  <c r="B19" i="24" a="1"/>
  <c r="B19" i="24" s="1"/>
  <c r="B18" i="3" a="1"/>
  <c r="B18" i="3" s="1"/>
  <c r="B18" i="13" a="1"/>
  <c r="B18" i="13" s="1"/>
  <c r="K292" i="24"/>
  <c r="K294" i="24"/>
  <c r="C152" i="8"/>
  <c r="C153" i="8"/>
  <c r="C159" i="8"/>
  <c r="C146" i="8"/>
  <c r="C147" i="8"/>
  <c r="C69" i="24"/>
  <c r="C136" i="8"/>
  <c r="K295" i="24"/>
  <c r="C209" i="24"/>
  <c r="C131" i="8" s="1"/>
  <c r="K293" i="24"/>
  <c r="C24" i="24"/>
  <c r="C116" i="8" s="1"/>
  <c r="C246" i="24"/>
  <c r="K290" i="24"/>
  <c r="C123" i="24"/>
  <c r="C124" i="8" s="1"/>
  <c r="C248" i="24"/>
  <c r="K283" i="24"/>
  <c r="K291" i="24"/>
  <c r="C286" i="24"/>
  <c r="C138" i="8" s="1"/>
  <c r="C140" i="24"/>
  <c r="C126" i="8" s="1"/>
  <c r="K284" i="24"/>
  <c r="C150" i="24"/>
  <c r="K282" i="24"/>
  <c r="C297" i="24"/>
  <c r="C139" i="8" s="1"/>
  <c r="C266" i="24"/>
  <c r="C55" i="24"/>
  <c r="C119" i="8" s="1"/>
  <c r="C130" i="8"/>
  <c r="C128" i="8"/>
  <c r="C130" i="24"/>
  <c r="C125" i="8" s="1"/>
  <c r="E204" i="24"/>
  <c r="E309" i="24"/>
  <c r="D310" i="24" s="1"/>
  <c r="E67" i="24"/>
  <c r="E213" i="24"/>
  <c r="C256" i="24"/>
  <c r="C258" i="24"/>
  <c r="C255" i="24"/>
  <c r="C62" i="24"/>
  <c r="C120" i="8" s="1"/>
  <c r="C109" i="24"/>
  <c r="C123" i="8" s="1"/>
  <c r="C265" i="24"/>
  <c r="C72" i="24" l="1"/>
  <c r="C121" i="8" s="1"/>
  <c r="C70" i="24"/>
  <c r="C135" i="8"/>
  <c r="C134" i="8"/>
  <c r="I150" i="24"/>
  <c r="D127" i="8" s="1"/>
  <c r="C127" i="8"/>
  <c r="C219" i="24"/>
  <c r="C132" i="8" s="1"/>
  <c r="C39" i="24"/>
  <c r="C117" i="8" s="1"/>
  <c r="K297" i="24"/>
  <c r="C129" i="8"/>
  <c r="C185" i="24"/>
  <c r="C86" i="24"/>
  <c r="C313" i="24"/>
  <c r="C318" i="24"/>
  <c r="C315" i="24"/>
  <c r="C312" i="24"/>
  <c r="C317" i="24"/>
  <c r="C314" i="24"/>
  <c r="C311" i="24"/>
  <c r="D311" i="24" s="1"/>
  <c r="C319" i="24"/>
  <c r="C316" i="24"/>
  <c r="C133" i="8" l="1"/>
  <c r="C122" i="8"/>
  <c r="I86" i="24"/>
  <c r="C196" i="8"/>
  <c r="C207" i="8"/>
  <c r="F207" i="8" s="1"/>
  <c r="C169" i="8"/>
  <c r="C201" i="8"/>
  <c r="I297" i="24"/>
  <c r="D139" i="8" s="1"/>
  <c r="F139" i="8"/>
  <c r="C216" i="24"/>
  <c r="C217" i="24"/>
  <c r="D318" i="24"/>
  <c r="K318" i="24" s="1"/>
  <c r="D314" i="24"/>
  <c r="K314" i="24" s="1"/>
  <c r="D317" i="24"/>
  <c r="K317" i="24" s="1"/>
  <c r="D312" i="24"/>
  <c r="D315" i="24"/>
  <c r="K315" i="24" s="1"/>
  <c r="D313" i="24"/>
  <c r="D316" i="24"/>
  <c r="K316" i="24" s="1"/>
  <c r="D319" i="24"/>
  <c r="K319" i="24" s="1"/>
  <c r="C310" i="24"/>
  <c r="J126" i="20" l="1"/>
  <c r="J127" i="20"/>
  <c r="J128" i="20"/>
  <c r="J129" i="20"/>
  <c r="J125" i="20"/>
  <c r="J137" i="3"/>
  <c r="J138" i="3"/>
  <c r="J139" i="3"/>
  <c r="J140" i="3"/>
  <c r="J136" i="3"/>
  <c r="F61" i="8"/>
  <c r="E81" i="8"/>
  <c r="B81" i="8"/>
  <c r="J261" i="13"/>
  <c r="E153" i="7"/>
  <c r="C43" i="7"/>
  <c r="E43" i="7" s="1"/>
  <c r="G13" i="26" l="1"/>
  <c r="I13" i="26"/>
  <c r="K13" i="26"/>
  <c r="E13" i="26"/>
  <c r="H13" i="26"/>
  <c r="J13" i="26"/>
  <c r="L13" i="26"/>
  <c r="M13" i="26"/>
  <c r="F13" i="26"/>
  <c r="N13" i="26"/>
  <c r="D13" i="26"/>
  <c r="D328" i="24"/>
  <c r="D325" i="24"/>
  <c r="C79" i="24"/>
  <c r="C80" i="24" s="1"/>
  <c r="D330" i="24"/>
  <c r="D329" i="24"/>
  <c r="D327" i="24"/>
  <c r="C162" i="24"/>
  <c r="C164" i="24" s="1"/>
  <c r="D326" i="24"/>
  <c r="C352" i="13"/>
  <c r="F22" i="22"/>
  <c r="G22" i="22"/>
  <c r="H22" i="22"/>
  <c r="I22" i="22"/>
  <c r="J22" i="22"/>
  <c r="K22" i="22"/>
  <c r="L22" i="22"/>
  <c r="M22" i="22"/>
  <c r="N22" i="22"/>
  <c r="D22" i="22"/>
  <c r="E22" i="22"/>
  <c r="D42" i="14"/>
  <c r="D44" i="14"/>
  <c r="D40" i="14"/>
  <c r="D43" i="14"/>
  <c r="E43" i="14"/>
  <c r="F43" i="14"/>
  <c r="G43" i="14"/>
  <c r="H43" i="14"/>
  <c r="I43" i="14"/>
  <c r="J43" i="14"/>
  <c r="K43" i="14"/>
  <c r="L43" i="14"/>
  <c r="M43" i="14"/>
  <c r="N43" i="14"/>
  <c r="O43" i="14"/>
  <c r="P43" i="14"/>
  <c r="Q43" i="14"/>
  <c r="R43" i="14"/>
  <c r="S43" i="14"/>
  <c r="T43" i="14"/>
  <c r="U43" i="14"/>
  <c r="V43" i="14"/>
  <c r="W43" i="14"/>
  <c r="X43" i="14"/>
  <c r="Y43" i="14"/>
  <c r="Z43" i="14"/>
  <c r="AA43" i="14"/>
  <c r="AB43" i="14"/>
  <c r="AC43" i="14"/>
  <c r="AD43" i="14"/>
  <c r="AE43" i="14"/>
  <c r="AF43" i="14"/>
  <c r="AG43" i="14"/>
  <c r="AH43" i="14"/>
  <c r="AI43" i="14"/>
  <c r="AJ43" i="14"/>
  <c r="AK43" i="14"/>
  <c r="AL43" i="14"/>
  <c r="AM43" i="14"/>
  <c r="AN43" i="14"/>
  <c r="AO43" i="14"/>
  <c r="AP43" i="14"/>
  <c r="AQ43" i="14"/>
  <c r="AR43" i="14"/>
  <c r="AS43" i="14"/>
  <c r="AT43" i="14"/>
  <c r="AU43" i="14"/>
  <c r="AV43" i="14"/>
  <c r="AW43" i="14"/>
  <c r="AX43" i="14"/>
  <c r="AY43" i="14"/>
  <c r="AZ43" i="14"/>
  <c r="BA43" i="14"/>
  <c r="BB43" i="14"/>
  <c r="BC43" i="14"/>
  <c r="BD43" i="14"/>
  <c r="BE43" i="14"/>
  <c r="BF43" i="14"/>
  <c r="BG43" i="14"/>
  <c r="BH43" i="14"/>
  <c r="BI43" i="14"/>
  <c r="BJ43" i="14"/>
  <c r="BK43" i="14"/>
  <c r="BL43" i="14"/>
  <c r="E44" i="14"/>
  <c r="F44" i="14"/>
  <c r="G44" i="14"/>
  <c r="H44" i="14"/>
  <c r="I44" i="14"/>
  <c r="J44" i="14"/>
  <c r="K44" i="14"/>
  <c r="L44" i="14"/>
  <c r="M44" i="14"/>
  <c r="N44" i="14"/>
  <c r="O44" i="14"/>
  <c r="P44" i="14"/>
  <c r="Q44" i="14"/>
  <c r="R44" i="14"/>
  <c r="S44" i="14"/>
  <c r="T44" i="14"/>
  <c r="U44" i="14"/>
  <c r="V44" i="14"/>
  <c r="W44" i="14"/>
  <c r="X44" i="14"/>
  <c r="Y44" i="14"/>
  <c r="Z44" i="14"/>
  <c r="AA44" i="14"/>
  <c r="AB44" i="14"/>
  <c r="AC44" i="14"/>
  <c r="AD44" i="14"/>
  <c r="AE44" i="14"/>
  <c r="AF44" i="14"/>
  <c r="AG44" i="14"/>
  <c r="AH44" i="14"/>
  <c r="AI44" i="14"/>
  <c r="AJ44" i="14"/>
  <c r="AK44" i="14"/>
  <c r="AL44" i="14"/>
  <c r="AM44" i="14"/>
  <c r="AN44" i="14"/>
  <c r="AO44" i="14"/>
  <c r="AP44" i="14"/>
  <c r="AQ44" i="14"/>
  <c r="AR44" i="14"/>
  <c r="AS44" i="14"/>
  <c r="AT44" i="14"/>
  <c r="AU44" i="14"/>
  <c r="AV44" i="14"/>
  <c r="AW44" i="14"/>
  <c r="AX44" i="14"/>
  <c r="AY44" i="14"/>
  <c r="AZ44" i="14"/>
  <c r="BA44" i="14"/>
  <c r="BB44" i="14"/>
  <c r="BC44" i="14"/>
  <c r="BD44" i="14"/>
  <c r="BE44" i="14"/>
  <c r="BF44" i="14"/>
  <c r="BG44" i="14"/>
  <c r="BH44" i="14"/>
  <c r="BI44" i="14"/>
  <c r="BJ44" i="14"/>
  <c r="BK44" i="14"/>
  <c r="BL44" i="14"/>
  <c r="Q42" i="14"/>
  <c r="R42" i="14"/>
  <c r="S42" i="14"/>
  <c r="T42" i="14"/>
  <c r="U42" i="14"/>
  <c r="V42" i="14"/>
  <c r="W42" i="14"/>
  <c r="X42" i="14"/>
  <c r="Y42" i="14"/>
  <c r="Z42" i="14"/>
  <c r="AA42" i="14"/>
  <c r="AB42" i="14"/>
  <c r="AC42" i="14"/>
  <c r="AD42" i="14"/>
  <c r="AE42" i="14"/>
  <c r="AF42" i="14"/>
  <c r="AG42" i="14"/>
  <c r="AH42" i="14"/>
  <c r="AI42" i="14"/>
  <c r="AJ42" i="14"/>
  <c r="AK42" i="14"/>
  <c r="AL42" i="14"/>
  <c r="AM42" i="14"/>
  <c r="AN42" i="14"/>
  <c r="AO42" i="14"/>
  <c r="AP42" i="14"/>
  <c r="AQ42" i="14"/>
  <c r="AR42" i="14"/>
  <c r="AT42" i="14"/>
  <c r="AW42" i="14"/>
  <c r="AX42" i="14"/>
  <c r="AY42" i="14"/>
  <c r="AZ42" i="14"/>
  <c r="BA42" i="14"/>
  <c r="BB42" i="14"/>
  <c r="BC42" i="14"/>
  <c r="BD42" i="14"/>
  <c r="BG42" i="14"/>
  <c r="BH42" i="14"/>
  <c r="BI42" i="14"/>
  <c r="BJ42" i="14"/>
  <c r="BK42" i="14"/>
  <c r="BL42" i="14"/>
  <c r="BM42" i="14"/>
  <c r="E42" i="14"/>
  <c r="F42" i="14"/>
  <c r="G42" i="14"/>
  <c r="H42" i="14"/>
  <c r="I42" i="14"/>
  <c r="J42" i="14"/>
  <c r="K42" i="14"/>
  <c r="L42" i="14"/>
  <c r="M42" i="14"/>
  <c r="N42" i="14"/>
  <c r="O42" i="14"/>
  <c r="E40" i="14"/>
  <c r="F40" i="14"/>
  <c r="G40" i="14"/>
  <c r="H40" i="14"/>
  <c r="I40" i="14"/>
  <c r="J40" i="14"/>
  <c r="K40" i="14"/>
  <c r="L40" i="14"/>
  <c r="M40" i="14"/>
  <c r="N40" i="14"/>
  <c r="O40" i="14"/>
  <c r="P40" i="14"/>
  <c r="R40" i="14"/>
  <c r="S40" i="14"/>
  <c r="T40" i="14"/>
  <c r="U40" i="14"/>
  <c r="V40" i="14"/>
  <c r="W40" i="14"/>
  <c r="X40" i="14"/>
  <c r="Y40" i="14"/>
  <c r="Z40" i="14"/>
  <c r="AA40" i="14"/>
  <c r="AB40" i="14"/>
  <c r="AC40" i="14"/>
  <c r="AD40" i="14"/>
  <c r="AE40" i="14"/>
  <c r="AF40" i="14"/>
  <c r="AG40" i="14"/>
  <c r="AH40" i="14"/>
  <c r="AI40" i="14"/>
  <c r="AJ40" i="14"/>
  <c r="AK40" i="14"/>
  <c r="AL40" i="14"/>
  <c r="AM40" i="14"/>
  <c r="AN40" i="14"/>
  <c r="AO40" i="14"/>
  <c r="AP40" i="14"/>
  <c r="AQ40" i="14"/>
  <c r="AR40" i="14"/>
  <c r="AS40" i="14"/>
  <c r="AS42" i="14" s="1"/>
  <c r="AT40" i="14"/>
  <c r="AU40" i="14"/>
  <c r="AU42" i="14" s="1"/>
  <c r="AV40" i="14"/>
  <c r="AV42" i="14" s="1"/>
  <c r="AW40" i="14"/>
  <c r="AX40" i="14"/>
  <c r="AY40" i="14"/>
  <c r="AZ40" i="14"/>
  <c r="BA40" i="14"/>
  <c r="BB40" i="14"/>
  <c r="BC40" i="14"/>
  <c r="BD40" i="14"/>
  <c r="BE40" i="14"/>
  <c r="BE42" i="14" s="1"/>
  <c r="BF40" i="14"/>
  <c r="BG40" i="14"/>
  <c r="BH40" i="14"/>
  <c r="BI40" i="14"/>
  <c r="BJ40" i="14"/>
  <c r="BK40" i="14"/>
  <c r="BL40" i="14"/>
  <c r="BM40" i="14"/>
  <c r="AT13" i="14"/>
  <c r="AU13" i="14"/>
  <c r="AV13" i="14"/>
  <c r="AW13" i="14"/>
  <c r="AX13" i="14"/>
  <c r="AY13" i="14"/>
  <c r="AZ13" i="14"/>
  <c r="BA13" i="14"/>
  <c r="BB13" i="14"/>
  <c r="BC13" i="14"/>
  <c r="BD13" i="14"/>
  <c r="BE13" i="14"/>
  <c r="AT14" i="14"/>
  <c r="AU14" i="14"/>
  <c r="AV14" i="14"/>
  <c r="AW14" i="14"/>
  <c r="AX14" i="14"/>
  <c r="AY14" i="14"/>
  <c r="AZ14" i="14"/>
  <c r="BA14" i="14"/>
  <c r="BB14" i="14"/>
  <c r="BC14" i="14"/>
  <c r="BD14" i="14"/>
  <c r="BE14" i="14"/>
  <c r="AT15" i="14"/>
  <c r="AU15" i="14"/>
  <c r="AV15" i="14"/>
  <c r="AW15" i="14"/>
  <c r="AX15" i="14"/>
  <c r="AY15" i="14"/>
  <c r="AZ15" i="14"/>
  <c r="BA15" i="14"/>
  <c r="BB15" i="14"/>
  <c r="BC15" i="14"/>
  <c r="BD15" i="14"/>
  <c r="BE15" i="14"/>
  <c r="AS15" i="14"/>
  <c r="AS14" i="14"/>
  <c r="AS13" i="14"/>
  <c r="AC13" i="14"/>
  <c r="AD13" i="14"/>
  <c r="AE13" i="14"/>
  <c r="AF13" i="14"/>
  <c r="AG13" i="14"/>
  <c r="AH13" i="14"/>
  <c r="AI13" i="14"/>
  <c r="AJ13" i="14"/>
  <c r="AK13" i="14"/>
  <c r="AL13" i="14"/>
  <c r="AM13" i="14"/>
  <c r="AC14" i="14"/>
  <c r="AD14" i="14"/>
  <c r="AE14" i="14"/>
  <c r="AF14" i="14"/>
  <c r="AG14" i="14"/>
  <c r="AH14" i="14"/>
  <c r="AI14" i="14"/>
  <c r="AJ14" i="14"/>
  <c r="AK14" i="14"/>
  <c r="AL14" i="14"/>
  <c r="AM14" i="14"/>
  <c r="AC15" i="14"/>
  <c r="AD15" i="14"/>
  <c r="AE15" i="14"/>
  <c r="AF15" i="14"/>
  <c r="AG15" i="14"/>
  <c r="AH15" i="14"/>
  <c r="AI15" i="14"/>
  <c r="AJ15" i="14"/>
  <c r="AK15" i="14"/>
  <c r="AL15" i="14"/>
  <c r="AM15" i="14"/>
  <c r="AB15" i="14"/>
  <c r="AB14" i="14"/>
  <c r="AB13" i="14"/>
  <c r="F13" i="14"/>
  <c r="G13" i="14"/>
  <c r="H13" i="14"/>
  <c r="I13" i="14"/>
  <c r="J13" i="14"/>
  <c r="K13" i="14"/>
  <c r="L13" i="14"/>
  <c r="M13" i="14"/>
  <c r="N13" i="14"/>
  <c r="O13" i="14"/>
  <c r="P13" i="14"/>
  <c r="Q13" i="14"/>
  <c r="R13" i="14"/>
  <c r="S13" i="14"/>
  <c r="T13" i="14"/>
  <c r="U13" i="14"/>
  <c r="V13" i="14"/>
  <c r="W13" i="14"/>
  <c r="X13" i="14"/>
  <c r="F14" i="14"/>
  <c r="G14" i="14"/>
  <c r="H14" i="14"/>
  <c r="I14" i="14"/>
  <c r="J14" i="14"/>
  <c r="K14" i="14"/>
  <c r="L14" i="14"/>
  <c r="M14" i="14"/>
  <c r="N14" i="14"/>
  <c r="O14" i="14"/>
  <c r="P14" i="14"/>
  <c r="Q14" i="14"/>
  <c r="R14" i="14"/>
  <c r="S14" i="14"/>
  <c r="T14" i="14"/>
  <c r="U14" i="14"/>
  <c r="V14" i="14"/>
  <c r="W14" i="14"/>
  <c r="X14" i="14"/>
  <c r="F15" i="14"/>
  <c r="G15" i="14"/>
  <c r="H15" i="14"/>
  <c r="I15" i="14"/>
  <c r="J15" i="14"/>
  <c r="K15" i="14"/>
  <c r="L15" i="14"/>
  <c r="M15" i="14"/>
  <c r="N15" i="14"/>
  <c r="O15" i="14"/>
  <c r="P15" i="14"/>
  <c r="Q15" i="14"/>
  <c r="R15" i="14"/>
  <c r="S15" i="14"/>
  <c r="T15" i="14"/>
  <c r="U15" i="14"/>
  <c r="V15" i="14"/>
  <c r="W15" i="14"/>
  <c r="X15" i="14"/>
  <c r="E13" i="14"/>
  <c r="E14" i="14"/>
  <c r="E15" i="14"/>
  <c r="S8" i="14"/>
  <c r="T8" i="14"/>
  <c r="U8" i="14"/>
  <c r="S9" i="14"/>
  <c r="T9" i="14"/>
  <c r="U9" i="14"/>
  <c r="S10" i="14"/>
  <c r="T10" i="14"/>
  <c r="U10" i="14"/>
  <c r="S11" i="14"/>
  <c r="T11" i="14"/>
  <c r="U11" i="14"/>
  <c r="R11" i="14"/>
  <c r="R10" i="14"/>
  <c r="R9" i="14"/>
  <c r="R8" i="14"/>
  <c r="F8" i="14"/>
  <c r="G8" i="14"/>
  <c r="H8" i="14"/>
  <c r="I8" i="14"/>
  <c r="J8" i="14"/>
  <c r="K8" i="14"/>
  <c r="L8" i="14"/>
  <c r="M8" i="14"/>
  <c r="N8" i="14"/>
  <c r="O8" i="14"/>
  <c r="F9" i="14"/>
  <c r="G9" i="14"/>
  <c r="H9" i="14"/>
  <c r="I9" i="14"/>
  <c r="J9" i="14"/>
  <c r="K9" i="14"/>
  <c r="L9" i="14"/>
  <c r="M9" i="14"/>
  <c r="N9" i="14"/>
  <c r="O9" i="14"/>
  <c r="F10" i="14"/>
  <c r="G10" i="14"/>
  <c r="H10" i="14"/>
  <c r="I10" i="14"/>
  <c r="J10" i="14"/>
  <c r="K10" i="14"/>
  <c r="L10" i="14"/>
  <c r="M10" i="14"/>
  <c r="N10" i="14"/>
  <c r="O10" i="14"/>
  <c r="F11" i="14"/>
  <c r="G11" i="14"/>
  <c r="H11" i="14"/>
  <c r="I11" i="14"/>
  <c r="J11" i="14"/>
  <c r="K11" i="14"/>
  <c r="L11" i="14"/>
  <c r="M11" i="14"/>
  <c r="N11" i="14"/>
  <c r="O11" i="14"/>
  <c r="E9" i="14"/>
  <c r="E10" i="14"/>
  <c r="E11" i="14"/>
  <c r="E8" i="14"/>
  <c r="D324" i="24" l="1"/>
  <c r="C45" i="20"/>
  <c r="C47" i="20"/>
  <c r="C170" i="8" s="1"/>
  <c r="C84" i="24"/>
  <c r="C83" i="24"/>
  <c r="C166" i="24"/>
  <c r="C167" i="24" s="1"/>
  <c r="B274" i="3"/>
  <c r="BM44" i="14"/>
  <c r="B102" i="8"/>
  <c r="E181" i="8"/>
  <c r="B181" i="8"/>
  <c r="D41" i="19"/>
  <c r="D42" i="19" s="1"/>
  <c r="D43" i="19" s="1"/>
  <c r="D50" i="19" s="1"/>
  <c r="D52" i="19" s="1"/>
  <c r="B310" i="13" l="1"/>
  <c r="D54" i="19"/>
  <c r="D55" i="19" s="1"/>
  <c r="D58" i="19" s="1"/>
  <c r="E65" i="8"/>
  <c r="B65" i="8"/>
  <c r="E64" i="8"/>
  <c r="B64" i="8"/>
  <c r="C296" i="3"/>
  <c r="C295" i="3"/>
  <c r="C294" i="3"/>
  <c r="E26" i="8"/>
  <c r="B26" i="8"/>
  <c r="E12" i="8"/>
  <c r="B12" i="8"/>
  <c r="E11" i="8"/>
  <c r="B11" i="8"/>
  <c r="C18" i="11"/>
  <c r="B199" i="20"/>
  <c r="J196" i="20"/>
  <c r="J197" i="20"/>
  <c r="B230" i="3"/>
  <c r="J227" i="3"/>
  <c r="J228" i="3"/>
  <c r="B265" i="13"/>
  <c r="J263" i="13"/>
  <c r="E86" i="13"/>
  <c r="E99" i="13"/>
  <c r="E111" i="13"/>
  <c r="E128" i="13"/>
  <c r="N35" i="14"/>
  <c r="O35" i="14" s="1"/>
  <c r="N25" i="14"/>
  <c r="O25" i="14" s="1"/>
  <c r="N24" i="14"/>
  <c r="O24" i="14"/>
  <c r="M24" i="14"/>
  <c r="L4" i="14"/>
  <c r="K4" i="14"/>
  <c r="O4" i="14"/>
  <c r="M5" i="14"/>
  <c r="M4" i="14"/>
  <c r="N4" i="14"/>
  <c r="L5" i="14"/>
  <c r="L35" i="14"/>
  <c r="L25" i="14"/>
  <c r="L24" i="14"/>
  <c r="K24" i="14"/>
  <c r="L17" i="14"/>
  <c r="H4" i="14"/>
  <c r="I4" i="14"/>
  <c r="I35" i="14"/>
  <c r="I25" i="14"/>
  <c r="S25" i="14"/>
  <c r="T25" i="14" s="1"/>
  <c r="U25" i="14" s="1"/>
  <c r="I24" i="14"/>
  <c r="H24" i="14"/>
  <c r="I17" i="14"/>
  <c r="G35" i="14"/>
  <c r="G24" i="14"/>
  <c r="F24" i="14"/>
  <c r="G4" i="14"/>
  <c r="F4" i="14"/>
  <c r="E4" i="14"/>
  <c r="AU4" i="14"/>
  <c r="AT4" i="14"/>
  <c r="AV4" i="14"/>
  <c r="AW4" i="14"/>
  <c r="AS4" i="14"/>
  <c r="AT17" i="14"/>
  <c r="AU17" i="14" s="1"/>
  <c r="AV17" i="14" s="1"/>
  <c r="AW17" i="14" s="1"/>
  <c r="AT11" i="14"/>
  <c r="AU11" i="14" s="1"/>
  <c r="AV11" i="14" s="1"/>
  <c r="AW11" i="14" s="1"/>
  <c r="AT10" i="14"/>
  <c r="AU10" i="14" s="1"/>
  <c r="AV10" i="14" s="1"/>
  <c r="AW10" i="14" s="1"/>
  <c r="AT9" i="14"/>
  <c r="AU9" i="14" s="1"/>
  <c r="AV9" i="14" s="1"/>
  <c r="AW9" i="14" s="1"/>
  <c r="AT8" i="14"/>
  <c r="AU8" i="14" s="1"/>
  <c r="AV8" i="14" s="1"/>
  <c r="AW8" i="14" s="1"/>
  <c r="AT5" i="14"/>
  <c r="C50" i="13"/>
  <c r="C65" i="8" s="1"/>
  <c r="B50" i="13"/>
  <c r="B51" i="3"/>
  <c r="V24" i="14"/>
  <c r="AY4" i="14"/>
  <c r="U35" i="14"/>
  <c r="T35" i="14"/>
  <c r="S35" i="14"/>
  <c r="S6" i="14"/>
  <c r="T6" i="14"/>
  <c r="U6" i="14"/>
  <c r="T5" i="14"/>
  <c r="U5" i="14"/>
  <c r="S5" i="14"/>
  <c r="T17" i="14"/>
  <c r="U17" i="14"/>
  <c r="S17" i="14"/>
  <c r="T4" i="14"/>
  <c r="U4" i="14"/>
  <c r="R4" i="14"/>
  <c r="S4" i="14"/>
  <c r="V4" i="14"/>
  <c r="E72" i="3" l="1"/>
  <c r="E313" i="3"/>
  <c r="C19" i="11"/>
  <c r="O5" i="14"/>
  <c r="AU5" i="14"/>
  <c r="N5" i="14"/>
  <c r="C51" i="3"/>
  <c r="C12" i="8" s="1"/>
  <c r="C40" i="8"/>
  <c r="C46" i="8"/>
  <c r="C53" i="8"/>
  <c r="C47" i="8"/>
  <c r="C48" i="8"/>
  <c r="C108" i="8"/>
  <c r="D60" i="19"/>
  <c r="D61" i="19" s="1"/>
  <c r="D62" i="19" s="1"/>
  <c r="E302" i="3"/>
  <c r="C44" i="13"/>
  <c r="B44" i="13"/>
  <c r="C196" i="20" l="1"/>
  <c r="F42" i="8"/>
  <c r="C20" i="11"/>
  <c r="AV5" i="14"/>
  <c r="C181" i="8" l="1"/>
  <c r="I199" i="20"/>
  <c r="I200" i="20" s="1"/>
  <c r="K226" i="3"/>
  <c r="C21" i="11"/>
  <c r="AW5" i="14"/>
  <c r="C26" i="8" l="1"/>
  <c r="C22" i="11"/>
  <c r="C23" i="11" l="1"/>
  <c r="B44" i="3"/>
  <c r="C44" i="3"/>
  <c r="C24" i="11" l="1"/>
  <c r="C11" i="8"/>
  <c r="B25" i="11" l="1"/>
  <c r="C25" i="11"/>
  <c r="E185" i="8"/>
  <c r="B185" i="8"/>
  <c r="C87" i="8"/>
  <c r="B87" i="8"/>
  <c r="E85" i="8"/>
  <c r="B85" i="8"/>
  <c r="D290" i="3"/>
  <c r="E33" i="8" s="1"/>
  <c r="C32" i="8"/>
  <c r="B32" i="8"/>
  <c r="E30" i="8"/>
  <c r="B30" i="8"/>
  <c r="C238" i="20"/>
  <c r="C185" i="8" s="1"/>
  <c r="C269" i="3"/>
  <c r="C304" i="13"/>
  <c r="C85" i="8" s="1"/>
  <c r="C30" i="8" l="1"/>
  <c r="B304" i="13"/>
  <c r="B238" i="20"/>
  <c r="B269" i="3"/>
  <c r="G265" i="3" l="1"/>
  <c r="G300" i="13"/>
  <c r="I300" i="13" s="1"/>
  <c r="K300" i="13" s="1"/>
  <c r="G266" i="3" l="1"/>
  <c r="G301" i="13"/>
  <c r="I301" i="13" s="1"/>
  <c r="K301" i="13" s="1"/>
  <c r="G267" i="3"/>
  <c r="G302" i="13"/>
  <c r="I302" i="13" s="1"/>
  <c r="K302" i="13" s="1"/>
  <c r="G234" i="20" l="1"/>
  <c r="G272" i="24"/>
  <c r="I272" i="24" s="1"/>
  <c r="K272" i="24" s="1"/>
  <c r="G235" i="20"/>
  <c r="G273" i="24"/>
  <c r="I273" i="24" s="1"/>
  <c r="K273" i="24" s="1"/>
  <c r="G236" i="20"/>
  <c r="G274" i="24"/>
  <c r="I274" i="24" s="1"/>
  <c r="K274" i="24" s="1"/>
  <c r="I265" i="3"/>
  <c r="K265" i="3" s="1"/>
  <c r="K276" i="24" l="1"/>
  <c r="I276" i="24" s="1"/>
  <c r="D137" i="8" s="1"/>
  <c r="I235" i="20"/>
  <c r="K235" i="20" s="1"/>
  <c r="I267" i="3"/>
  <c r="K267" i="3" s="1"/>
  <c r="I236" i="20"/>
  <c r="K236" i="20" s="1"/>
  <c r="I266" i="3"/>
  <c r="K266" i="3" s="1"/>
  <c r="I234" i="20"/>
  <c r="K234" i="20" s="1"/>
  <c r="F137" i="8" l="1"/>
  <c r="K304" i="13"/>
  <c r="F85" i="8" s="1"/>
  <c r="K238" i="20"/>
  <c r="K269" i="3"/>
  <c r="I269" i="3" s="1"/>
  <c r="D30" i="8" s="1"/>
  <c r="J36" i="3"/>
  <c r="I238" i="20" l="1"/>
  <c r="D185" i="8" s="1"/>
  <c r="F185" i="8"/>
  <c r="I304" i="13"/>
  <c r="D85" i="8" s="1"/>
  <c r="F30" i="8"/>
  <c r="B101" i="8"/>
  <c r="E47" i="8"/>
  <c r="E48" i="8"/>
  <c r="B48" i="8"/>
  <c r="B47" i="8"/>
  <c r="E46" i="8"/>
  <c r="B46" i="8"/>
  <c r="E186" i="8"/>
  <c r="B186" i="8"/>
  <c r="E184" i="8"/>
  <c r="B184" i="8"/>
  <c r="E183" i="8"/>
  <c r="B183" i="8"/>
  <c r="E182" i="8"/>
  <c r="B182" i="8"/>
  <c r="E180" i="8"/>
  <c r="B180" i="8"/>
  <c r="E179" i="8"/>
  <c r="B179" i="8"/>
  <c r="E178" i="8"/>
  <c r="B178" i="8"/>
  <c r="E177" i="8"/>
  <c r="B177" i="8"/>
  <c r="E176" i="8"/>
  <c r="B176" i="8"/>
  <c r="E175" i="8"/>
  <c r="B175" i="8"/>
  <c r="E174" i="8"/>
  <c r="B174" i="8"/>
  <c r="E173" i="8"/>
  <c r="B173" i="8"/>
  <c r="E167" i="8"/>
  <c r="B167" i="8"/>
  <c r="B66" i="24" l="1"/>
  <c r="C143" i="20"/>
  <c r="C145" i="20" s="1"/>
  <c r="E357" i="13"/>
  <c r="D357" i="13" s="1"/>
  <c r="E354" i="13"/>
  <c r="D354" i="13" s="1"/>
  <c r="E355" i="13"/>
  <c r="D355" i="13" s="1"/>
  <c r="E356" i="13"/>
  <c r="D356" i="13" s="1"/>
  <c r="E353" i="13"/>
  <c r="B62" i="8"/>
  <c r="E62" i="8"/>
  <c r="B63" i="8"/>
  <c r="E63" i="8"/>
  <c r="B66" i="8"/>
  <c r="E66" i="8"/>
  <c r="B67" i="8"/>
  <c r="E67" i="8"/>
  <c r="B68" i="8"/>
  <c r="E68" i="8"/>
  <c r="B69" i="8"/>
  <c r="E69" i="8"/>
  <c r="B70" i="8"/>
  <c r="E70" i="8"/>
  <c r="B71" i="8"/>
  <c r="E71" i="8"/>
  <c r="B72" i="8"/>
  <c r="E72" i="8"/>
  <c r="B73" i="8"/>
  <c r="E73" i="8"/>
  <c r="B74" i="8"/>
  <c r="E74" i="8"/>
  <c r="B75" i="8"/>
  <c r="E75" i="8"/>
  <c r="B76" i="8"/>
  <c r="E76" i="8"/>
  <c r="B77" i="8"/>
  <c r="E77" i="8"/>
  <c r="B78" i="8"/>
  <c r="E78" i="8"/>
  <c r="B79" i="8"/>
  <c r="E79" i="8"/>
  <c r="B80" i="8"/>
  <c r="E80" i="8"/>
  <c r="B82" i="8"/>
  <c r="E82" i="8"/>
  <c r="B83" i="8"/>
  <c r="E83" i="8"/>
  <c r="B84" i="8"/>
  <c r="E84" i="8"/>
  <c r="B86" i="8"/>
  <c r="E86" i="8"/>
  <c r="B88" i="8"/>
  <c r="D88" i="8"/>
  <c r="F166" i="8"/>
  <c r="E166" i="8"/>
  <c r="D166" i="8"/>
  <c r="C166" i="8"/>
  <c r="B273" i="20" a="1"/>
  <c r="B273" i="20" s="1"/>
  <c r="I276" i="20"/>
  <c r="I277" i="20"/>
  <c r="I278" i="20"/>
  <c r="I279" i="20"/>
  <c r="I280" i="20"/>
  <c r="I281" i="20"/>
  <c r="F21" i="22"/>
  <c r="E21" i="22"/>
  <c r="Q6" i="14"/>
  <c r="B2" i="22"/>
  <c r="D259" i="20"/>
  <c r="E187" i="8" s="1"/>
  <c r="B259" i="20"/>
  <c r="J257" i="20"/>
  <c r="I257" i="20"/>
  <c r="J256" i="20"/>
  <c r="I256" i="20"/>
  <c r="J255" i="20"/>
  <c r="I255" i="20"/>
  <c r="J254" i="20"/>
  <c r="I254" i="20"/>
  <c r="J253" i="20"/>
  <c r="I253" i="20"/>
  <c r="J252" i="20"/>
  <c r="I252" i="20"/>
  <c r="B248" i="20"/>
  <c r="I246" i="20"/>
  <c r="I245" i="20"/>
  <c r="I244" i="20"/>
  <c r="B230" i="20"/>
  <c r="B220" i="20"/>
  <c r="B210" i="20"/>
  <c r="B181" i="20"/>
  <c r="B168" i="20"/>
  <c r="B151" i="20"/>
  <c r="B131" i="20"/>
  <c r="B121" i="20"/>
  <c r="B111" i="20"/>
  <c r="B104" i="20"/>
  <c r="B90" i="20"/>
  <c r="B2" i="20"/>
  <c r="B7" i="19"/>
  <c r="C154" i="3"/>
  <c r="C156" i="3" s="1"/>
  <c r="C158" i="3" l="1"/>
  <c r="C159" i="3"/>
  <c r="C160" i="3" s="1"/>
  <c r="C180" i="8"/>
  <c r="C220" i="20"/>
  <c r="C183" i="8" s="1"/>
  <c r="C228" i="20"/>
  <c r="E34" i="20"/>
  <c r="E43" i="20"/>
  <c r="B320" i="3"/>
  <c r="B321" i="3"/>
  <c r="B322" i="3"/>
  <c r="B323" i="3"/>
  <c r="B324" i="3"/>
  <c r="B219" i="8"/>
  <c r="B226" i="8"/>
  <c r="B233" i="8"/>
  <c r="C90" i="20"/>
  <c r="C173" i="8" s="1"/>
  <c r="K252" i="20"/>
  <c r="K254" i="20"/>
  <c r="E271" i="20"/>
  <c r="K253" i="20"/>
  <c r="K257" i="20"/>
  <c r="K255" i="20"/>
  <c r="K256" i="20"/>
  <c r="K245" i="20"/>
  <c r="K246" i="20"/>
  <c r="C121" i="20"/>
  <c r="C176" i="8" s="1"/>
  <c r="C131" i="20"/>
  <c r="C177" i="8" s="1"/>
  <c r="C248" i="20"/>
  <c r="C186" i="8" s="1"/>
  <c r="C111" i="20"/>
  <c r="C175" i="8" s="1"/>
  <c r="C104" i="20"/>
  <c r="C174" i="8" s="1"/>
  <c r="K244" i="20"/>
  <c r="C22" i="20"/>
  <c r="C167" i="8" s="1"/>
  <c r="B325" i="24" l="1" a="1"/>
  <c r="B325" i="24" s="1"/>
  <c r="B319" i="3"/>
  <c r="C210" i="20"/>
  <c r="C182" i="8" s="1"/>
  <c r="C259" i="20"/>
  <c r="C187" i="8" s="1"/>
  <c r="C217" i="20"/>
  <c r="C207" i="20"/>
  <c r="C230" i="20"/>
  <c r="C184" i="8" s="1"/>
  <c r="C218" i="20"/>
  <c r="C227" i="20"/>
  <c r="C208" i="20"/>
  <c r="C166" i="20"/>
  <c r="K259" i="20"/>
  <c r="F187" i="8" s="1"/>
  <c r="C179" i="8"/>
  <c r="I259" i="20" l="1"/>
  <c r="D187" i="8" s="1"/>
  <c r="D327" i="13" l="1"/>
  <c r="E88" i="8" s="1"/>
  <c r="E320" i="3"/>
  <c r="D320" i="3" s="1"/>
  <c r="E321" i="3"/>
  <c r="D321" i="3" s="1"/>
  <c r="E322" i="3"/>
  <c r="D322" i="3" s="1"/>
  <c r="E323" i="3"/>
  <c r="D323" i="3" s="1"/>
  <c r="E324" i="3"/>
  <c r="D324" i="3" s="1"/>
  <c r="E319" i="3"/>
  <c r="D319" i="3" s="1"/>
  <c r="E206" i="3"/>
  <c r="C210" i="3" s="1"/>
  <c r="E196" i="3"/>
  <c r="C200" i="3" s="1"/>
  <c r="E10" i="8"/>
  <c r="B10" i="8"/>
  <c r="B38" i="3"/>
  <c r="B68" i="13"/>
  <c r="D318" i="3" l="1"/>
  <c r="C38" i="3"/>
  <c r="C68" i="13"/>
  <c r="C67" i="8" s="1"/>
  <c r="BE17" i="14" l="1"/>
  <c r="J17" i="14"/>
  <c r="C35" i="13" l="1"/>
  <c r="C34" i="13"/>
  <c r="C35" i="3"/>
  <c r="C36" i="3"/>
  <c r="C34" i="3"/>
  <c r="C33" i="3"/>
  <c r="C109" i="8"/>
  <c r="C41" i="8"/>
  <c r="C54" i="8"/>
  <c r="C10" i="8"/>
  <c r="C36" i="13"/>
  <c r="AO6" i="14"/>
  <c r="AP6" i="14" s="1"/>
  <c r="AQ6" i="14" s="1"/>
  <c r="AR6" i="14" s="1"/>
  <c r="AX6" i="14" s="1"/>
  <c r="AY6" i="14" s="1"/>
  <c r="AZ6" i="14" s="1"/>
  <c r="BA6" i="14" s="1"/>
  <c r="BB6" i="14" s="1"/>
  <c r="BC6" i="14" s="1"/>
  <c r="BD6" i="14" s="1"/>
  <c r="Z6" i="14"/>
  <c r="AA6" i="14" s="1"/>
  <c r="AB6" i="14" s="1"/>
  <c r="AC6" i="14" s="1"/>
  <c r="AD6" i="14" s="1"/>
  <c r="AE6" i="14" s="1"/>
  <c r="AF6" i="14" s="1"/>
  <c r="AG6" i="14" s="1"/>
  <c r="AH6" i="14" s="1"/>
  <c r="AI6" i="14" s="1"/>
  <c r="AJ6" i="14" s="1"/>
  <c r="AK6" i="14" s="1"/>
  <c r="AL6" i="14" s="1"/>
  <c r="AM6" i="14" s="1"/>
  <c r="W6" i="14"/>
  <c r="X6" i="14" s="1"/>
  <c r="P9" i="14"/>
  <c r="P10" i="14"/>
  <c r="P11" i="14"/>
  <c r="P8" i="14"/>
  <c r="W39" i="14"/>
  <c r="X39" i="14" s="1"/>
  <c r="Q40" i="14"/>
  <c r="P42" i="14"/>
  <c r="W41" i="14"/>
  <c r="X41" i="14" s="1"/>
  <c r="Y41" i="14" s="1"/>
  <c r="Z41" i="14" s="1"/>
  <c r="AZ30" i="14"/>
  <c r="BA30" i="14" s="1"/>
  <c r="BB30" i="14" s="1"/>
  <c r="AO30" i="14"/>
  <c r="AP30" i="14" s="1"/>
  <c r="AQ30" i="14" s="1"/>
  <c r="AR30" i="14" s="1"/>
  <c r="AK30" i="14"/>
  <c r="AL30" i="14" s="1"/>
  <c r="AM30" i="14" s="1"/>
  <c r="AG30" i="14"/>
  <c r="AH30" i="14" s="1"/>
  <c r="AI30" i="14" s="1"/>
  <c r="AC30" i="14"/>
  <c r="AD30" i="14" s="1"/>
  <c r="AE30" i="14" s="1"/>
  <c r="Z30" i="14"/>
  <c r="AA30" i="14" s="1"/>
  <c r="W30" i="14"/>
  <c r="X30" i="14" s="1"/>
  <c r="B309" i="13"/>
  <c r="D61" i="8"/>
  <c r="E61" i="8"/>
  <c r="C61" i="8"/>
  <c r="BD35" i="14"/>
  <c r="AZ35" i="14"/>
  <c r="BA35" i="14" s="1"/>
  <c r="BB35" i="14" s="1"/>
  <c r="AO35" i="14"/>
  <c r="AP35" i="14" s="1"/>
  <c r="AQ35" i="14" s="1"/>
  <c r="AR35" i="14" s="1"/>
  <c r="AK35" i="14"/>
  <c r="AL35" i="14" s="1"/>
  <c r="AM35" i="14" s="1"/>
  <c r="AG35" i="14"/>
  <c r="AH35" i="14" s="1"/>
  <c r="AI35" i="14" s="1"/>
  <c r="AC35" i="14"/>
  <c r="AD35" i="14" s="1"/>
  <c r="AE35" i="14" s="1"/>
  <c r="Z35" i="14"/>
  <c r="AA35" i="14" s="1"/>
  <c r="W35" i="14"/>
  <c r="X35" i="14" s="1"/>
  <c r="Q35" i="14"/>
  <c r="D72" i="13"/>
  <c r="D73" i="13" s="1"/>
  <c r="C168" i="8" l="1"/>
  <c r="Q11" i="14"/>
  <c r="V11" i="14" s="1"/>
  <c r="W11" i="14" s="1"/>
  <c r="X11" i="14" s="1"/>
  <c r="Q10" i="14"/>
  <c r="V10" i="14" s="1"/>
  <c r="W10" i="14" s="1"/>
  <c r="X10" i="14" s="1"/>
  <c r="Q9" i="14"/>
  <c r="V9" i="14" s="1"/>
  <c r="W9" i="14" s="1"/>
  <c r="X9" i="14" s="1"/>
  <c r="Q8" i="14"/>
  <c r="V8" i="14" s="1"/>
  <c r="W8" i="14" s="1"/>
  <c r="X8" i="14" s="1"/>
  <c r="Y39" i="14"/>
  <c r="AA41" i="14"/>
  <c r="D76" i="13"/>
  <c r="D77" i="13"/>
  <c r="Z39" i="14" l="1"/>
  <c r="E132" i="13"/>
  <c r="E118" i="13"/>
  <c r="E104" i="13"/>
  <c r="B136" i="13"/>
  <c r="B79" i="13"/>
  <c r="BD24" i="14"/>
  <c r="AX24" i="14"/>
  <c r="AY24" i="14" s="1"/>
  <c r="AZ24" i="14" s="1"/>
  <c r="BA24" i="14" s="1"/>
  <c r="BB24" i="14" s="1"/>
  <c r="AK24" i="14"/>
  <c r="AL24" i="14" s="1"/>
  <c r="AM24" i="14" s="1"/>
  <c r="AG24" i="14"/>
  <c r="AH24" i="14" s="1"/>
  <c r="AI24" i="14" s="1"/>
  <c r="AC24" i="14"/>
  <c r="AD24" i="14" s="1"/>
  <c r="AE24" i="14" s="1"/>
  <c r="Z24" i="14"/>
  <c r="AA24" i="14" s="1"/>
  <c r="W24" i="14"/>
  <c r="X24" i="14" s="1"/>
  <c r="Q24" i="14"/>
  <c r="BD37" i="14"/>
  <c r="AZ37" i="14"/>
  <c r="BA37" i="14" s="1"/>
  <c r="BB37" i="14" s="1"/>
  <c r="AO37" i="14"/>
  <c r="AP37" i="14" s="1"/>
  <c r="AQ37" i="14" s="1"/>
  <c r="AR37" i="14" s="1"/>
  <c r="AK37" i="14"/>
  <c r="AL37" i="14" s="1"/>
  <c r="AM37" i="14" s="1"/>
  <c r="AG37" i="14"/>
  <c r="AH37" i="14" s="1"/>
  <c r="AI37" i="14" s="1"/>
  <c r="AC37" i="14"/>
  <c r="AD37" i="14" s="1"/>
  <c r="AE37" i="14" s="1"/>
  <c r="Z37" i="14"/>
  <c r="AA37" i="14" s="1"/>
  <c r="W37" i="14"/>
  <c r="X37" i="14" s="1"/>
  <c r="Q37" i="14"/>
  <c r="BD17" i="14"/>
  <c r="AZ17" i="14"/>
  <c r="BA17" i="14" s="1"/>
  <c r="BB17" i="14" s="1"/>
  <c r="AO17" i="14"/>
  <c r="AP17" i="14" s="1"/>
  <c r="AQ17" i="14" s="1"/>
  <c r="AR17" i="14" s="1"/>
  <c r="AK17" i="14"/>
  <c r="AL17" i="14" s="1"/>
  <c r="AM17" i="14" s="1"/>
  <c r="AG17" i="14"/>
  <c r="AH17" i="14" s="1"/>
  <c r="AI17" i="14" s="1"/>
  <c r="AC17" i="14"/>
  <c r="AD17" i="14" s="1"/>
  <c r="AE17" i="14" s="1"/>
  <c r="Z17" i="14"/>
  <c r="AA17" i="14" s="1"/>
  <c r="Q17" i="14"/>
  <c r="AO14" i="14"/>
  <c r="AP14" i="14" s="1"/>
  <c r="AQ14" i="14" s="1"/>
  <c r="AR14" i="14" s="1"/>
  <c r="AO15" i="14"/>
  <c r="AP15" i="14" s="1"/>
  <c r="AQ15" i="14" s="1"/>
  <c r="AR15" i="14" s="1"/>
  <c r="AO13" i="14"/>
  <c r="AP13" i="14" s="1"/>
  <c r="AQ13" i="14" s="1"/>
  <c r="AR13" i="14" s="1"/>
  <c r="Z14" i="14"/>
  <c r="AA14" i="14" s="1"/>
  <c r="Z15" i="14"/>
  <c r="AA15" i="14" s="1"/>
  <c r="Z13" i="14"/>
  <c r="AA13" i="14" s="1"/>
  <c r="Z9" i="14"/>
  <c r="AA9" i="14" s="1"/>
  <c r="AB9" i="14" s="1"/>
  <c r="AC9" i="14" s="1"/>
  <c r="AD9" i="14" s="1"/>
  <c r="AE9" i="14" s="1"/>
  <c r="AF9" i="14" s="1"/>
  <c r="AG9" i="14" s="1"/>
  <c r="AH9" i="14" s="1"/>
  <c r="AI9" i="14" s="1"/>
  <c r="AJ9" i="14" s="1"/>
  <c r="AK9" i="14" s="1"/>
  <c r="AL9" i="14" s="1"/>
  <c r="AM9" i="14" s="1"/>
  <c r="Z10" i="14"/>
  <c r="AA10" i="14" s="1"/>
  <c r="AB10" i="14" s="1"/>
  <c r="AC10" i="14" s="1"/>
  <c r="AD10" i="14" s="1"/>
  <c r="AE10" i="14" s="1"/>
  <c r="AF10" i="14" s="1"/>
  <c r="AG10" i="14" s="1"/>
  <c r="AH10" i="14" s="1"/>
  <c r="AI10" i="14" s="1"/>
  <c r="AJ10" i="14" s="1"/>
  <c r="AK10" i="14" s="1"/>
  <c r="AL10" i="14" s="1"/>
  <c r="AM10" i="14" s="1"/>
  <c r="Z11" i="14"/>
  <c r="AA11" i="14" s="1"/>
  <c r="AB11" i="14" s="1"/>
  <c r="AC11" i="14" s="1"/>
  <c r="AD11" i="14" s="1"/>
  <c r="AE11" i="14" s="1"/>
  <c r="AF11" i="14" s="1"/>
  <c r="AG11" i="14" s="1"/>
  <c r="AH11" i="14" s="1"/>
  <c r="AI11" i="14" s="1"/>
  <c r="AJ11" i="14" s="1"/>
  <c r="AK11" i="14" s="1"/>
  <c r="AL11" i="14" s="1"/>
  <c r="AM11" i="14" s="1"/>
  <c r="Z8" i="14"/>
  <c r="AA8" i="14" s="1"/>
  <c r="AB8" i="14" s="1"/>
  <c r="AC8" i="14" s="1"/>
  <c r="AD8" i="14" s="1"/>
  <c r="AE8" i="14" s="1"/>
  <c r="AF8" i="14" s="1"/>
  <c r="AG8" i="14" s="1"/>
  <c r="AH8" i="14" s="1"/>
  <c r="AI8" i="14" s="1"/>
  <c r="AJ8" i="14" s="1"/>
  <c r="AK8" i="14" s="1"/>
  <c r="AL8" i="14" s="1"/>
  <c r="AM8" i="14" s="1"/>
  <c r="AO9" i="14"/>
  <c r="AP9" i="14" s="1"/>
  <c r="AQ9" i="14" s="1"/>
  <c r="AR9" i="14" s="1"/>
  <c r="AX9" i="14" s="1"/>
  <c r="AY9" i="14" s="1"/>
  <c r="AZ9" i="14" s="1"/>
  <c r="BA9" i="14" s="1"/>
  <c r="BB9" i="14" s="1"/>
  <c r="BC9" i="14" s="1"/>
  <c r="BD9" i="14" s="1"/>
  <c r="BE9" i="14" s="1"/>
  <c r="AO10" i="14"/>
  <c r="AP10" i="14" s="1"/>
  <c r="AQ10" i="14" s="1"/>
  <c r="AR10" i="14" s="1"/>
  <c r="AX10" i="14" s="1"/>
  <c r="AY10" i="14" s="1"/>
  <c r="AZ10" i="14" s="1"/>
  <c r="BA10" i="14" s="1"/>
  <c r="BB10" i="14" s="1"/>
  <c r="BC10" i="14" s="1"/>
  <c r="BD10" i="14" s="1"/>
  <c r="BE10" i="14" s="1"/>
  <c r="AO11" i="14"/>
  <c r="AP11" i="14" s="1"/>
  <c r="AQ11" i="14" s="1"/>
  <c r="AR11" i="14" s="1"/>
  <c r="AX11" i="14" s="1"/>
  <c r="AY11" i="14" s="1"/>
  <c r="AZ11" i="14" s="1"/>
  <c r="BA11" i="14" s="1"/>
  <c r="BB11" i="14" s="1"/>
  <c r="BC11" i="14" s="1"/>
  <c r="BD11" i="14" s="1"/>
  <c r="BE11" i="14" s="1"/>
  <c r="AO8" i="14"/>
  <c r="AP8" i="14" s="1"/>
  <c r="AQ8" i="14" s="1"/>
  <c r="AR8" i="14" s="1"/>
  <c r="AX8" i="14" s="1"/>
  <c r="AY8" i="14" s="1"/>
  <c r="AZ8" i="14" s="1"/>
  <c r="BA8" i="14" s="1"/>
  <c r="BB8" i="14" s="1"/>
  <c r="BC8" i="14" s="1"/>
  <c r="BD8" i="14" s="1"/>
  <c r="BE8" i="14" s="1"/>
  <c r="Q5" i="14"/>
  <c r="Z5" i="14"/>
  <c r="AC5" i="14"/>
  <c r="AG5" i="14"/>
  <c r="AK5" i="14"/>
  <c r="BD5" i="14"/>
  <c r="AZ5" i="14"/>
  <c r="AO5" i="14"/>
  <c r="BD4" i="14"/>
  <c r="BC4" i="14"/>
  <c r="AZ4" i="14"/>
  <c r="BA4" i="14"/>
  <c r="BB4" i="14"/>
  <c r="AX4" i="14"/>
  <c r="AO4" i="14"/>
  <c r="AP4" i="14"/>
  <c r="AQ4" i="14"/>
  <c r="AR4" i="14"/>
  <c r="AN4" i="14"/>
  <c r="AK4" i="14"/>
  <c r="AL4" i="14"/>
  <c r="AM4" i="14"/>
  <c r="AJ4" i="14"/>
  <c r="AG4" i="14"/>
  <c r="AH4" i="14"/>
  <c r="AI4" i="14"/>
  <c r="AF4" i="14"/>
  <c r="AC4" i="14"/>
  <c r="AD4" i="14"/>
  <c r="AE4" i="14"/>
  <c r="AB4" i="14"/>
  <c r="Z4" i="14"/>
  <c r="AA4" i="14"/>
  <c r="Y4" i="14"/>
  <c r="W4" i="14"/>
  <c r="X4" i="14"/>
  <c r="Q4" i="14"/>
  <c r="P4" i="14"/>
  <c r="AN24" i="14"/>
  <c r="AO24" i="14" s="1"/>
  <c r="AP24" i="14" s="1"/>
  <c r="AQ24" i="14" s="1"/>
  <c r="AR24" i="14" s="1"/>
  <c r="B221" i="13"/>
  <c r="B251" i="13"/>
  <c r="B238" i="13"/>
  <c r="B296" i="13"/>
  <c r="B286" i="13"/>
  <c r="B276" i="13"/>
  <c r="B121" i="13"/>
  <c r="B107" i="13"/>
  <c r="B94" i="13"/>
  <c r="J283" i="3"/>
  <c r="E31" i="8"/>
  <c r="E29" i="8"/>
  <c r="E28" i="8"/>
  <c r="E27" i="8"/>
  <c r="E17" i="8"/>
  <c r="B33" i="8"/>
  <c r="B31" i="8"/>
  <c r="B29" i="8"/>
  <c r="B28" i="8"/>
  <c r="B27" i="8"/>
  <c r="B17" i="8"/>
  <c r="B61" i="13"/>
  <c r="B61" i="8"/>
  <c r="C33" i="13"/>
  <c r="B38" i="13"/>
  <c r="B201" i="13"/>
  <c r="B191" i="13"/>
  <c r="B181" i="13"/>
  <c r="B174" i="13"/>
  <c r="B159" i="13"/>
  <c r="B327" i="13"/>
  <c r="J325" i="13"/>
  <c r="I325" i="13"/>
  <c r="J324" i="13"/>
  <c r="I324" i="13"/>
  <c r="J323" i="13"/>
  <c r="I323" i="13"/>
  <c r="J322" i="13"/>
  <c r="I322" i="13"/>
  <c r="J321" i="13"/>
  <c r="I321" i="13"/>
  <c r="I320" i="13"/>
  <c r="C296" i="13"/>
  <c r="C286" i="13"/>
  <c r="AH5" i="14" l="1"/>
  <c r="AA5" i="14"/>
  <c r="AP5" i="14"/>
  <c r="BA5" i="14"/>
  <c r="AD5" i="14"/>
  <c r="AL5" i="14"/>
  <c r="B217" i="8"/>
  <c r="B231" i="8"/>
  <c r="B224" i="8"/>
  <c r="C84" i="8"/>
  <c r="C83" i="8"/>
  <c r="C95" i="8"/>
  <c r="C98" i="13"/>
  <c r="C107" i="13" s="1"/>
  <c r="C70" i="8" s="1"/>
  <c r="C84" i="13"/>
  <c r="C94" i="13" s="1"/>
  <c r="C69" i="8" s="1"/>
  <c r="C101" i="8"/>
  <c r="C86" i="8"/>
  <c r="C341" i="13"/>
  <c r="C38" i="13"/>
  <c r="C63" i="8" s="1"/>
  <c r="E339" i="13"/>
  <c r="C279" i="3"/>
  <c r="B308" i="13"/>
  <c r="B273" i="3"/>
  <c r="C342" i="13"/>
  <c r="C343" i="13"/>
  <c r="AA39" i="14"/>
  <c r="AC41" i="14"/>
  <c r="C327" i="13"/>
  <c r="C159" i="13"/>
  <c r="C73" i="8" s="1"/>
  <c r="C61" i="13"/>
  <c r="C66" i="8" s="1"/>
  <c r="C201" i="13"/>
  <c r="C181" i="13"/>
  <c r="C75" i="8" s="1"/>
  <c r="C174" i="13"/>
  <c r="C74" i="8" s="1"/>
  <c r="C191" i="13"/>
  <c r="C76" i="8" s="1"/>
  <c r="K325" i="13"/>
  <c r="K323" i="13"/>
  <c r="K321" i="13"/>
  <c r="K322" i="13"/>
  <c r="K324" i="13"/>
  <c r="C293" i="13"/>
  <c r="C283" i="13"/>
  <c r="C284" i="13"/>
  <c r="C294" i="13"/>
  <c r="C340" i="13" l="1"/>
  <c r="D341" i="13"/>
  <c r="D352" i="13"/>
  <c r="BB5" i="14"/>
  <c r="AQ5" i="14"/>
  <c r="AM5" i="14"/>
  <c r="AE5" i="14"/>
  <c r="AI5" i="14"/>
  <c r="C129" i="13"/>
  <c r="C255" i="13" s="1"/>
  <c r="C260" i="13" s="1"/>
  <c r="C76" i="13"/>
  <c r="C77" i="8"/>
  <c r="I201" i="13"/>
  <c r="C31" i="8"/>
  <c r="C88" i="8"/>
  <c r="D342" i="13"/>
  <c r="D343" i="13"/>
  <c r="D347" i="13"/>
  <c r="D344" i="13"/>
  <c r="D345" i="13"/>
  <c r="D346" i="13"/>
  <c r="AD41" i="14"/>
  <c r="K320" i="13"/>
  <c r="K327" i="13" s="1"/>
  <c r="C99" i="13"/>
  <c r="C85" i="13"/>
  <c r="C86" i="13"/>
  <c r="C71" i="8"/>
  <c r="C91" i="13"/>
  <c r="C92" i="13" s="1"/>
  <c r="C119" i="13"/>
  <c r="C262" i="13" l="1"/>
  <c r="K262" i="13" s="1"/>
  <c r="C261" i="13"/>
  <c r="C89" i="13"/>
  <c r="C90" i="13" s="1"/>
  <c r="F88" i="8"/>
  <c r="AR5" i="14"/>
  <c r="C102" i="13"/>
  <c r="C136" i="13"/>
  <c r="AC39" i="14"/>
  <c r="AE41" i="14"/>
  <c r="C133" i="13"/>
  <c r="C112" i="13"/>
  <c r="C113" i="13" s="1"/>
  <c r="C132" i="13"/>
  <c r="C104" i="13"/>
  <c r="C105" i="13"/>
  <c r="C118" i="13"/>
  <c r="C79" i="13"/>
  <c r="C77" i="13"/>
  <c r="C263" i="13" l="1"/>
  <c r="C265" i="13"/>
  <c r="C81" i="8" s="1"/>
  <c r="C72" i="8"/>
  <c r="C116" i="13"/>
  <c r="C117" i="13" s="1"/>
  <c r="C103" i="13"/>
  <c r="C68" i="8"/>
  <c r="AD39" i="14"/>
  <c r="AF41" i="14"/>
  <c r="B261" i="3"/>
  <c r="B212" i="3"/>
  <c r="B251" i="3"/>
  <c r="C251" i="3"/>
  <c r="C28" i="8" s="1"/>
  <c r="B241" i="3"/>
  <c r="C241" i="3" l="1"/>
  <c r="C27" i="8" s="1"/>
  <c r="AE39" i="14"/>
  <c r="AG41" i="14"/>
  <c r="C261" i="3"/>
  <c r="C29" i="8" s="1"/>
  <c r="C258" i="3"/>
  <c r="C248" i="3"/>
  <c r="C259" i="3"/>
  <c r="C249" i="3"/>
  <c r="J218" i="13"/>
  <c r="J219" i="13"/>
  <c r="J217" i="13"/>
  <c r="J236" i="13"/>
  <c r="J235" i="13"/>
  <c r="J234" i="13"/>
  <c r="B290" i="3"/>
  <c r="B279" i="3"/>
  <c r="J284" i="3"/>
  <c r="J285" i="3"/>
  <c r="J286" i="3"/>
  <c r="J287" i="3"/>
  <c r="J288" i="3"/>
  <c r="I283" i="3"/>
  <c r="I284" i="3"/>
  <c r="I285" i="3"/>
  <c r="I288" i="3"/>
  <c r="I287" i="3"/>
  <c r="I286" i="3"/>
  <c r="E16" i="8"/>
  <c r="E25" i="8"/>
  <c r="E24" i="8"/>
  <c r="E23" i="8"/>
  <c r="E22" i="8"/>
  <c r="E21" i="8"/>
  <c r="E20" i="8"/>
  <c r="E19" i="8"/>
  <c r="E18" i="8"/>
  <c r="E14" i="8"/>
  <c r="E15" i="8"/>
  <c r="E13" i="8"/>
  <c r="E9" i="8"/>
  <c r="B15" i="8"/>
  <c r="B16" i="8"/>
  <c r="B23" i="8"/>
  <c r="B22" i="8"/>
  <c r="B21" i="8"/>
  <c r="B20" i="8"/>
  <c r="B19" i="8"/>
  <c r="B18" i="8"/>
  <c r="B122" i="3"/>
  <c r="C94" i="8" l="1"/>
  <c r="C107" i="8"/>
  <c r="C96" i="8"/>
  <c r="C52" i="8"/>
  <c r="C39" i="8"/>
  <c r="C238" i="3"/>
  <c r="C239" i="3"/>
  <c r="C290" i="3"/>
  <c r="C33" i="8" s="1"/>
  <c r="C202" i="3"/>
  <c r="C16" i="8" s="1"/>
  <c r="AF39" i="14"/>
  <c r="AH41" i="14"/>
  <c r="C276" i="13"/>
  <c r="C78" i="3"/>
  <c r="C24" i="13"/>
  <c r="C62" i="8" s="1"/>
  <c r="K284" i="3"/>
  <c r="K286" i="3"/>
  <c r="K285" i="3"/>
  <c r="K283" i="3"/>
  <c r="K287" i="3"/>
  <c r="K288" i="3"/>
  <c r="C68" i="3"/>
  <c r="C115" i="3"/>
  <c r="C19" i="8" s="1"/>
  <c r="C122" i="3"/>
  <c r="C20" i="8" s="1"/>
  <c r="C142" i="3"/>
  <c r="A92" i="7" a="1"/>
  <c r="A92" i="7" s="1"/>
  <c r="A12" i="7" a="1"/>
  <c r="A12" i="7" s="1"/>
  <c r="B9" i="7" a="1"/>
  <c r="B9" i="7" s="1"/>
  <c r="A9" i="7" a="1"/>
  <c r="A9" i="7" s="1"/>
  <c r="D136" i="24" l="1"/>
  <c r="D138" i="24"/>
  <c r="D134" i="24"/>
  <c r="D135" i="24"/>
  <c r="D137" i="24"/>
  <c r="D115" i="20"/>
  <c r="J115" i="20" s="1"/>
  <c r="D129" i="3"/>
  <c r="J129" i="3" s="1"/>
  <c r="D186" i="13"/>
  <c r="D130" i="3"/>
  <c r="J130" i="3" s="1"/>
  <c r="D119" i="20"/>
  <c r="J119" i="20" s="1"/>
  <c r="D187" i="13"/>
  <c r="D126" i="3"/>
  <c r="J126" i="3" s="1"/>
  <c r="D188" i="13"/>
  <c r="D127" i="3"/>
  <c r="J127" i="3" s="1"/>
  <c r="D116" i="20"/>
  <c r="J116" i="20" s="1"/>
  <c r="D189" i="13"/>
  <c r="D118" i="20"/>
  <c r="J118" i="20" s="1"/>
  <c r="D128" i="3"/>
  <c r="J128" i="3" s="1"/>
  <c r="D117" i="20"/>
  <c r="J117" i="20" s="1"/>
  <c r="D185" i="13"/>
  <c r="C79" i="8"/>
  <c r="C82" i="8"/>
  <c r="C18" i="8"/>
  <c r="C132" i="3"/>
  <c r="C21" i="8" s="1"/>
  <c r="K290" i="3"/>
  <c r="I290" i="3" s="1"/>
  <c r="AG39" i="14"/>
  <c r="AI41" i="14"/>
  <c r="J185" i="13" a="1"/>
  <c r="J185" i="13" s="1"/>
  <c r="J189" i="13" a="1"/>
  <c r="J189" i="13" s="1"/>
  <c r="J187" i="13" a="1"/>
  <c r="J187" i="13" s="1"/>
  <c r="J186" i="13" a="1"/>
  <c r="J186" i="13" s="1"/>
  <c r="J195" i="13" a="1"/>
  <c r="J195" i="13" s="1"/>
  <c r="J188" i="13" a="1"/>
  <c r="J188" i="13" s="1"/>
  <c r="J197" i="13" a="1"/>
  <c r="J197" i="13" s="1"/>
  <c r="J198" i="13" a="1"/>
  <c r="J198" i="13" s="1"/>
  <c r="J199" i="13" a="1"/>
  <c r="J199" i="13" s="1"/>
  <c r="J196" i="13" a="1"/>
  <c r="J196" i="13" s="1"/>
  <c r="C192" i="3"/>
  <c r="J135" i="24" l="1"/>
  <c r="J134" i="24"/>
  <c r="J137" i="24"/>
  <c r="J136" i="24"/>
  <c r="J138" i="24"/>
  <c r="C17" i="8"/>
  <c r="C209" i="3"/>
  <c r="AH39" i="14"/>
  <c r="AJ41" i="14"/>
  <c r="F33" i="8"/>
  <c r="D33" i="8"/>
  <c r="C25" i="8"/>
  <c r="AI39" i="14" l="1"/>
  <c r="AK41" i="14"/>
  <c r="C22" i="8"/>
  <c r="AL41" i="14" l="1"/>
  <c r="AK39" i="14" l="1"/>
  <c r="AM41" i="14"/>
  <c r="A157" i="7" a="1"/>
  <c r="A157" i="7" s="1"/>
  <c r="B151" i="7" a="1"/>
  <c r="B151" i="7" s="1"/>
  <c r="B142" i="3"/>
  <c r="B132" i="3"/>
  <c r="B115" i="3"/>
  <c r="B101" i="3"/>
  <c r="B68" i="3"/>
  <c r="B25" i="8"/>
  <c r="B24" i="8"/>
  <c r="B81" i="7"/>
  <c r="B75" i="7"/>
  <c r="B71" i="7"/>
  <c r="B67" i="7"/>
  <c r="B72" i="7" a="1"/>
  <c r="B72" i="7" s="1"/>
  <c r="C23" i="8" l="1"/>
  <c r="AL39" i="14"/>
  <c r="AM39" i="14" l="1"/>
  <c r="AO41" i="14"/>
  <c r="C24" i="8"/>
  <c r="B202" i="3"/>
  <c r="B192" i="3"/>
  <c r="B179" i="3"/>
  <c r="B162" i="3"/>
  <c r="B78" i="3"/>
  <c r="B61" i="3"/>
  <c r="C14" i="8"/>
  <c r="B13" i="8"/>
  <c r="C61" i="3"/>
  <c r="C23" i="3"/>
  <c r="C75" i="3"/>
  <c r="C76" i="3"/>
  <c r="B2" i="12"/>
  <c r="AP41" i="14" l="1"/>
  <c r="C13" i="8"/>
  <c r="C9" i="8"/>
  <c r="C15" i="8"/>
  <c r="B76" i="3"/>
  <c r="B75" i="3"/>
  <c r="B74" i="3"/>
  <c r="C313" i="3" l="1"/>
  <c r="D313" i="3" s="1"/>
  <c r="AO39" i="14"/>
  <c r="AQ41" i="14"/>
  <c r="AP39" i="14" l="1"/>
  <c r="AR41" i="14"/>
  <c r="AQ39" i="14" l="1"/>
  <c r="AX41" i="14"/>
  <c r="AR39" i="14" l="1"/>
  <c r="AZ41" i="14" l="1"/>
  <c r="BA41" i="14" l="1"/>
  <c r="AZ39" i="14" l="1"/>
  <c r="BB41" i="14"/>
  <c r="BA39" i="14" l="1"/>
  <c r="BC41" i="14"/>
  <c r="BB39" i="14" l="1"/>
  <c r="BD41" i="14"/>
  <c r="BC39" i="14" l="1"/>
  <c r="BD39" i="14" l="1"/>
  <c r="BM43" i="14" l="1"/>
  <c r="B65" i="7" l="1"/>
  <c r="B68" i="7" a="1"/>
  <c r="B68" i="7" s="1"/>
  <c r="C273" i="13"/>
  <c r="C274" i="13"/>
  <c r="C80" i="8"/>
  <c r="C199" i="3"/>
  <c r="I346" i="13"/>
  <c r="I347" i="13"/>
  <c r="C163" i="20" l="1"/>
  <c r="C164" i="20" s="1"/>
  <c r="C182" i="24"/>
  <c r="C183" i="24" s="1"/>
  <c r="C233" i="13"/>
  <c r="K346" i="13"/>
  <c r="C174" i="3"/>
  <c r="K347" i="13"/>
  <c r="G91" i="13" l="1"/>
  <c r="I91" i="13" s="1"/>
  <c r="K91" i="13" s="1"/>
  <c r="G345" i="13"/>
  <c r="G234" i="13"/>
  <c r="C234" i="13"/>
  <c r="G265" i="24" l="1"/>
  <c r="I265" i="24" s="1"/>
  <c r="K265" i="24" s="1"/>
  <c r="G245" i="24"/>
  <c r="I245" i="24" s="1"/>
  <c r="K245" i="24" s="1"/>
  <c r="G83" i="24"/>
  <c r="I83" i="24" s="1"/>
  <c r="K83" i="24" s="1"/>
  <c r="G164" i="20"/>
  <c r="I164" i="20" s="1"/>
  <c r="K164" i="20" s="1"/>
  <c r="G183" i="24"/>
  <c r="I183" i="24" s="1"/>
  <c r="K183" i="24" s="1"/>
  <c r="G255" i="24"/>
  <c r="I255" i="24" s="1"/>
  <c r="K255" i="24" s="1"/>
  <c r="G207" i="24"/>
  <c r="I207" i="24" s="1"/>
  <c r="K207" i="24" s="1"/>
  <c r="G216" i="24"/>
  <c r="I216" i="24" s="1"/>
  <c r="K216" i="24" s="1"/>
  <c r="G256" i="24"/>
  <c r="I256" i="24" s="1"/>
  <c r="K256" i="24" s="1"/>
  <c r="G246" i="24"/>
  <c r="I246" i="24" s="1"/>
  <c r="K246" i="24" s="1"/>
  <c r="G217" i="24"/>
  <c r="I217" i="24" s="1"/>
  <c r="K217" i="24" s="1"/>
  <c r="G266" i="24"/>
  <c r="I266" i="24" s="1"/>
  <c r="K266" i="24" s="1"/>
  <c r="G84" i="24"/>
  <c r="I84" i="24" s="1"/>
  <c r="K84" i="24" s="1"/>
  <c r="G148" i="20"/>
  <c r="I148" i="20" s="1"/>
  <c r="G167" i="24"/>
  <c r="I167" i="24" s="1"/>
  <c r="K167" i="24" s="1"/>
  <c r="G133" i="13"/>
  <c r="I133" i="13" s="1"/>
  <c r="K133" i="13" s="1"/>
  <c r="G118" i="13"/>
  <c r="I118" i="13" s="1"/>
  <c r="K118" i="13" s="1"/>
  <c r="G248" i="3"/>
  <c r="I248" i="3" s="1"/>
  <c r="K248" i="3" s="1"/>
  <c r="G217" i="20"/>
  <c r="I217" i="20" s="1"/>
  <c r="K217" i="20" s="1"/>
  <c r="G209" i="3"/>
  <c r="I209" i="3" s="1"/>
  <c r="K209" i="3" s="1"/>
  <c r="G208" i="20"/>
  <c r="I208" i="20" s="1"/>
  <c r="K208" i="20" s="1"/>
  <c r="G228" i="20"/>
  <c r="I228" i="20" s="1"/>
  <c r="K228" i="20" s="1"/>
  <c r="G218" i="20"/>
  <c r="I218" i="20" s="1"/>
  <c r="K218" i="20" s="1"/>
  <c r="G227" i="20"/>
  <c r="I227" i="20" s="1"/>
  <c r="K227" i="20" s="1"/>
  <c r="G199" i="3"/>
  <c r="I199" i="3" s="1"/>
  <c r="K199" i="3" s="1"/>
  <c r="G207" i="20"/>
  <c r="I207" i="20" s="1"/>
  <c r="K207" i="20" s="1"/>
  <c r="G283" i="13"/>
  <c r="I283" i="13" s="1"/>
  <c r="K283" i="13" s="1"/>
  <c r="G104" i="13"/>
  <c r="I104" i="13" s="1"/>
  <c r="K104" i="13" s="1"/>
  <c r="G132" i="13"/>
  <c r="I132" i="13" s="1"/>
  <c r="K132" i="13" s="1"/>
  <c r="G76" i="13"/>
  <c r="I76" i="13" s="1"/>
  <c r="K76" i="13" s="1"/>
  <c r="G119" i="13"/>
  <c r="I119" i="13" s="1"/>
  <c r="K119" i="13" s="1"/>
  <c r="G77" i="13"/>
  <c r="I77" i="13" s="1"/>
  <c r="K77" i="13" s="1"/>
  <c r="G273" i="13"/>
  <c r="I273" i="13" s="1"/>
  <c r="K273" i="13" s="1"/>
  <c r="G238" i="3"/>
  <c r="I238" i="3" s="1"/>
  <c r="K238" i="3" s="1"/>
  <c r="G293" i="13"/>
  <c r="I293" i="13" s="1"/>
  <c r="K293" i="13" s="1"/>
  <c r="G258" i="3"/>
  <c r="I258" i="3" s="1"/>
  <c r="K258" i="3" s="1"/>
  <c r="G92" i="13"/>
  <c r="I92" i="13" s="1"/>
  <c r="K92" i="13" s="1"/>
  <c r="G284" i="13"/>
  <c r="I284" i="13" s="1"/>
  <c r="K284" i="13" s="1"/>
  <c r="G294" i="13"/>
  <c r="I294" i="13" s="1"/>
  <c r="K294" i="13" s="1"/>
  <c r="G105" i="13"/>
  <c r="I105" i="13" s="1"/>
  <c r="K105" i="13" s="1"/>
  <c r="G249" i="3"/>
  <c r="I249" i="3" s="1"/>
  <c r="K249" i="3" s="1"/>
  <c r="G259" i="3"/>
  <c r="I259" i="3" s="1"/>
  <c r="K259" i="3" s="1"/>
  <c r="G210" i="3"/>
  <c r="I210" i="3" s="1"/>
  <c r="G239" i="3"/>
  <c r="I239" i="3" s="1"/>
  <c r="K239" i="3" s="1"/>
  <c r="I234" i="13"/>
  <c r="K234" i="13" s="1"/>
  <c r="G159" i="3"/>
  <c r="I159" i="3" s="1"/>
  <c r="G274" i="13"/>
  <c r="I274" i="13" s="1"/>
  <c r="K274" i="13" s="1"/>
  <c r="G175" i="3"/>
  <c r="I175" i="3" s="1"/>
  <c r="G200" i="3"/>
  <c r="I200" i="3" s="1"/>
  <c r="G134" i="13" l="1"/>
  <c r="I134" i="13" s="1"/>
  <c r="K134" i="13" s="1"/>
  <c r="H7" i="9"/>
  <c r="B2" i="14"/>
  <c r="G34" i="20" l="1"/>
  <c r="I34" i="20" s="1"/>
  <c r="K34" i="20" s="1"/>
  <c r="G44" i="20"/>
  <c r="G51" i="20"/>
  <c r="I51" i="20" s="1"/>
  <c r="K51" i="20" s="1"/>
  <c r="G36" i="20"/>
  <c r="I36" i="20" s="1"/>
  <c r="K36" i="20" s="1"/>
  <c r="G35" i="20"/>
  <c r="G185" i="24"/>
  <c r="I185" i="24" s="1"/>
  <c r="K185" i="24" s="1"/>
  <c r="G166" i="20"/>
  <c r="I166" i="20" s="1"/>
  <c r="K166" i="20" s="1"/>
  <c r="G86" i="13"/>
  <c r="I86" i="13" s="1"/>
  <c r="K86" i="13" s="1"/>
  <c r="G111" i="13"/>
  <c r="G85" i="13"/>
  <c r="G75" i="3"/>
  <c r="I75" i="3" s="1"/>
  <c r="K75" i="3" s="1"/>
  <c r="G177" i="3"/>
  <c r="G249" i="13"/>
  <c r="G274" i="3" l="1"/>
  <c r="I274" i="3" s="1"/>
  <c r="K274" i="3" s="1"/>
  <c r="G273" i="3"/>
  <c r="I273" i="3" s="1"/>
  <c r="K273" i="3" s="1"/>
  <c r="G310" i="13"/>
  <c r="I310" i="13" s="1"/>
  <c r="K310" i="13" s="1"/>
  <c r="G309" i="13"/>
  <c r="I309" i="13" s="1"/>
  <c r="K309" i="13" s="1"/>
  <c r="G73" i="13"/>
  <c r="I73" i="13" s="1"/>
  <c r="K73" i="13" s="1"/>
  <c r="I242" i="20"/>
  <c r="K242" i="20" s="1"/>
  <c r="I243" i="20"/>
  <c r="K243" i="20" s="1"/>
  <c r="G34" i="24"/>
  <c r="I34" i="24" s="1"/>
  <c r="K34" i="24" s="1"/>
  <c r="I281" i="24"/>
  <c r="K281" i="24" s="1"/>
  <c r="I280" i="24"/>
  <c r="K280" i="24" s="1"/>
  <c r="G37" i="24"/>
  <c r="I37" i="24" s="1"/>
  <c r="K37" i="24" s="1"/>
  <c r="G35" i="24"/>
  <c r="I35" i="24" s="1"/>
  <c r="K35" i="24" s="1"/>
  <c r="G36" i="24"/>
  <c r="I36" i="24" s="1"/>
  <c r="K36" i="24" s="1"/>
  <c r="G128" i="13"/>
  <c r="G34" i="3"/>
  <c r="I34" i="3" s="1"/>
  <c r="K34" i="3" s="1"/>
  <c r="G35" i="3"/>
  <c r="I35" i="3" s="1"/>
  <c r="K35" i="3" s="1"/>
  <c r="G36" i="3"/>
  <c r="I36" i="3" s="1"/>
  <c r="K36" i="3" s="1"/>
  <c r="G35" i="13"/>
  <c r="I35" i="13" s="1"/>
  <c r="K35" i="13" s="1"/>
  <c r="G36" i="13"/>
  <c r="I36" i="13" s="1"/>
  <c r="K36" i="13" s="1"/>
  <c r="G33" i="13"/>
  <c r="I33" i="13" s="1"/>
  <c r="K33" i="13" s="1"/>
  <c r="G34" i="13"/>
  <c r="I34" i="13" s="1"/>
  <c r="K34" i="13" s="1"/>
  <c r="G33" i="3"/>
  <c r="I33" i="3" s="1"/>
  <c r="K33" i="3" s="1"/>
  <c r="G99" i="13"/>
  <c r="I99" i="13" s="1"/>
  <c r="K99" i="13" s="1"/>
  <c r="I111" i="13"/>
  <c r="K111" i="13" s="1"/>
  <c r="I85" i="13"/>
  <c r="K85" i="13" s="1"/>
  <c r="I312" i="13"/>
  <c r="K312" i="13" s="1"/>
  <c r="I276" i="3"/>
  <c r="K276" i="3" s="1"/>
  <c r="I277" i="3"/>
  <c r="K277" i="3" s="1"/>
  <c r="I275" i="3"/>
  <c r="K275" i="3" s="1"/>
  <c r="I313" i="13"/>
  <c r="K313" i="13" s="1"/>
  <c r="I311" i="13"/>
  <c r="K311" i="13" s="1"/>
  <c r="G117" i="13"/>
  <c r="I177" i="3"/>
  <c r="G236" i="13"/>
  <c r="I236" i="13" s="1"/>
  <c r="K236" i="13" s="1"/>
  <c r="G22" i="13" l="1"/>
  <c r="I22" i="13" s="1"/>
  <c r="K22" i="13" s="1"/>
  <c r="G308" i="13"/>
  <c r="I308" i="13" s="1"/>
  <c r="K308" i="13" s="1"/>
  <c r="K315" i="13" s="1"/>
  <c r="G20" i="13"/>
  <c r="I20" i="13" s="1"/>
  <c r="K20" i="13" s="1"/>
  <c r="G19" i="13"/>
  <c r="I19" i="13" s="1"/>
  <c r="K19" i="13" s="1"/>
  <c r="G22" i="24"/>
  <c r="I22" i="24" s="1"/>
  <c r="K22" i="24" s="1"/>
  <c r="G19" i="3"/>
  <c r="I19" i="3" s="1"/>
  <c r="K19" i="3" s="1"/>
  <c r="G20" i="3"/>
  <c r="I20" i="3" s="1"/>
  <c r="K20" i="3" s="1"/>
  <c r="G21" i="24"/>
  <c r="I21" i="24" s="1"/>
  <c r="K21" i="24" s="1"/>
  <c r="G21" i="3"/>
  <c r="I21" i="3" s="1"/>
  <c r="K21" i="3" s="1"/>
  <c r="G21" i="13"/>
  <c r="I21" i="13" s="1"/>
  <c r="K21" i="13" s="1"/>
  <c r="G20" i="24"/>
  <c r="I20" i="24" s="1"/>
  <c r="K20" i="24" s="1"/>
  <c r="G20" i="20"/>
  <c r="I20" i="20" s="1"/>
  <c r="K20" i="20" s="1"/>
  <c r="K22" i="20" s="1"/>
  <c r="K286" i="24"/>
  <c r="G30" i="13"/>
  <c r="G30" i="24"/>
  <c r="I30" i="24" s="1"/>
  <c r="K30" i="24" s="1"/>
  <c r="G32" i="24"/>
  <c r="I32" i="24" s="1"/>
  <c r="K32" i="24" s="1"/>
  <c r="G33" i="24"/>
  <c r="I33" i="24" s="1"/>
  <c r="K33" i="24" s="1"/>
  <c r="G31" i="24"/>
  <c r="I31" i="24" s="1"/>
  <c r="K31" i="24" s="1"/>
  <c r="G29" i="24"/>
  <c r="I29" i="24" s="1"/>
  <c r="K29" i="24" s="1"/>
  <c r="K279" i="3"/>
  <c r="I279" i="3" s="1"/>
  <c r="D31" i="8" s="1"/>
  <c r="G30" i="3"/>
  <c r="G31" i="3"/>
  <c r="I31" i="3" s="1"/>
  <c r="K31" i="3" s="1"/>
  <c r="G29" i="13"/>
  <c r="I29" i="13" s="1"/>
  <c r="K29" i="13" s="1"/>
  <c r="G28" i="3"/>
  <c r="I28" i="3" s="1"/>
  <c r="K28" i="3" s="1"/>
  <c r="G31" i="13"/>
  <c r="I31" i="13" s="1"/>
  <c r="K31" i="13" s="1"/>
  <c r="G29" i="3"/>
  <c r="I29" i="3" s="1"/>
  <c r="K29" i="3" s="1"/>
  <c r="G32" i="3"/>
  <c r="K248" i="20"/>
  <c r="F186" i="8" s="1"/>
  <c r="G28" i="13"/>
  <c r="G32" i="13"/>
  <c r="G103" i="13"/>
  <c r="I345" i="13"/>
  <c r="I316" i="13" l="1"/>
  <c r="I315" i="13"/>
  <c r="G18" i="3"/>
  <c r="I18" i="3" s="1"/>
  <c r="K18" i="3" s="1"/>
  <c r="K23" i="3" s="1"/>
  <c r="I23" i="3" s="1"/>
  <c r="D9" i="8" s="1"/>
  <c r="G18" i="13"/>
  <c r="I18" i="13" s="1"/>
  <c r="K18" i="13" s="1"/>
  <c r="K24" i="13" s="1"/>
  <c r="G19" i="24"/>
  <c r="I19" i="24" s="1"/>
  <c r="K19" i="24" s="1"/>
  <c r="K24" i="24" s="1"/>
  <c r="F167" i="8"/>
  <c r="I286" i="24"/>
  <c r="D138" i="8" s="1"/>
  <c r="F138" i="8"/>
  <c r="G179" i="20"/>
  <c r="I179" i="20" s="1"/>
  <c r="K179" i="20" s="1"/>
  <c r="K181" i="20" s="1"/>
  <c r="G198" i="24"/>
  <c r="I198" i="24" s="1"/>
  <c r="K198" i="24" s="1"/>
  <c r="K200" i="24" s="1"/>
  <c r="G27" i="3"/>
  <c r="G28" i="24"/>
  <c r="I28" i="24" s="1"/>
  <c r="K28" i="24" s="1"/>
  <c r="K39" i="24" s="1"/>
  <c r="F117" i="8" s="1"/>
  <c r="C78" i="8"/>
  <c r="G190" i="3"/>
  <c r="I190" i="3" s="1"/>
  <c r="K190" i="3" s="1"/>
  <c r="I249" i="13"/>
  <c r="K249" i="13" s="1"/>
  <c r="K251" i="13" s="1"/>
  <c r="F80" i="8" s="1"/>
  <c r="I248" i="20"/>
  <c r="D186" i="8" s="1"/>
  <c r="I22" i="20"/>
  <c r="D167" i="8" s="1"/>
  <c r="G90" i="13"/>
  <c r="F31" i="8"/>
  <c r="K345" i="13"/>
  <c r="B2" i="13"/>
  <c r="I24" i="13" l="1"/>
  <c r="D62" i="8" s="1"/>
  <c r="F86" i="8"/>
  <c r="D86" i="8"/>
  <c r="C217" i="13"/>
  <c r="C218" i="13" s="1"/>
  <c r="G355" i="13"/>
  <c r="I355" i="13" s="1"/>
  <c r="K355" i="13" s="1"/>
  <c r="F62" i="8"/>
  <c r="G354" i="13"/>
  <c r="I354" i="13" s="1"/>
  <c r="K354" i="13" s="1"/>
  <c r="G311" i="24"/>
  <c r="I311" i="24" s="1"/>
  <c r="K311" i="24" s="1"/>
  <c r="F9" i="8"/>
  <c r="I24" i="24"/>
  <c r="D116" i="8" s="1"/>
  <c r="F116" i="8"/>
  <c r="I181" i="20"/>
  <c r="D180" i="8" s="1"/>
  <c r="F180" i="8"/>
  <c r="I200" i="24"/>
  <c r="D130" i="8" s="1"/>
  <c r="F130" i="8"/>
  <c r="G331" i="24"/>
  <c r="I331" i="24" s="1"/>
  <c r="K331" i="24" s="1"/>
  <c r="G312" i="24"/>
  <c r="I312" i="24" s="1"/>
  <c r="K312" i="24" s="1"/>
  <c r="G330" i="24"/>
  <c r="I330" i="24" s="1"/>
  <c r="K330" i="24" s="1"/>
  <c r="G333" i="24"/>
  <c r="I333" i="24" s="1"/>
  <c r="K333" i="24" s="1"/>
  <c r="G327" i="24"/>
  <c r="I327" i="24" s="1"/>
  <c r="K327" i="24" s="1"/>
  <c r="G326" i="24"/>
  <c r="I326" i="24" s="1"/>
  <c r="K326" i="24" s="1"/>
  <c r="G325" i="24"/>
  <c r="I325" i="24" s="1"/>
  <c r="K325" i="24" s="1"/>
  <c r="G328" i="24"/>
  <c r="I328" i="24" s="1"/>
  <c r="K328" i="24" s="1"/>
  <c r="I39" i="24"/>
  <c r="D117" i="8" s="1"/>
  <c r="G334" i="24"/>
  <c r="I334" i="24" s="1"/>
  <c r="K334" i="24" s="1"/>
  <c r="G332" i="24"/>
  <c r="I332" i="24" s="1"/>
  <c r="K332" i="24" s="1"/>
  <c r="G313" i="24"/>
  <c r="I313" i="24" s="1"/>
  <c r="K313" i="24" s="1"/>
  <c r="G329" i="24"/>
  <c r="I329" i="24" s="1"/>
  <c r="K329" i="24" s="1"/>
  <c r="G324" i="3"/>
  <c r="I324" i="3" s="1"/>
  <c r="K324" i="3" s="1"/>
  <c r="G358" i="13"/>
  <c r="I358" i="13" s="1"/>
  <c r="K358" i="13" s="1"/>
  <c r="G321" i="3"/>
  <c r="I321" i="3" s="1"/>
  <c r="K321" i="3" s="1"/>
  <c r="G325" i="3"/>
  <c r="I325" i="3" s="1"/>
  <c r="K325" i="3" s="1"/>
  <c r="I319" i="3"/>
  <c r="K319" i="3" s="1"/>
  <c r="G320" i="3"/>
  <c r="I320" i="3" s="1"/>
  <c r="K320" i="3" s="1"/>
  <c r="G327" i="3"/>
  <c r="I327" i="3" s="1"/>
  <c r="K327" i="3" s="1"/>
  <c r="G322" i="3"/>
  <c r="I322" i="3" s="1"/>
  <c r="K322" i="3" s="1"/>
  <c r="G357" i="13"/>
  <c r="I357" i="13" s="1"/>
  <c r="K357" i="13" s="1"/>
  <c r="G360" i="13"/>
  <c r="I360" i="13" s="1"/>
  <c r="K360" i="13" s="1"/>
  <c r="G353" i="13"/>
  <c r="I353" i="13" s="1"/>
  <c r="G356" i="13"/>
  <c r="I356" i="13" s="1"/>
  <c r="K356" i="13" s="1"/>
  <c r="G359" i="13"/>
  <c r="I359" i="13" s="1"/>
  <c r="K359" i="13" s="1"/>
  <c r="G323" i="3"/>
  <c r="I323" i="3" s="1"/>
  <c r="K323" i="3" s="1"/>
  <c r="G328" i="3"/>
  <c r="I328" i="3" s="1"/>
  <c r="K328" i="3" s="1"/>
  <c r="G361" i="13"/>
  <c r="I361" i="13" s="1"/>
  <c r="K361" i="13" s="1"/>
  <c r="G326" i="3"/>
  <c r="I326" i="3" s="1"/>
  <c r="K326" i="3" s="1"/>
  <c r="G275" i="20"/>
  <c r="I275" i="20" s="1"/>
  <c r="G274" i="20"/>
  <c r="I274" i="20" s="1"/>
  <c r="I251" i="13"/>
  <c r="D80" i="8" s="1"/>
  <c r="G343" i="13"/>
  <c r="I343" i="13" s="1"/>
  <c r="K343" i="13" s="1"/>
  <c r="G342" i="13"/>
  <c r="I342" i="13" s="1"/>
  <c r="K342" i="13" s="1"/>
  <c r="K192" i="3"/>
  <c r="I192" i="3" s="1"/>
  <c r="G313" i="3"/>
  <c r="K177" i="3"/>
  <c r="I344" i="13"/>
  <c r="K344" i="13" s="1"/>
  <c r="G218" i="13"/>
  <c r="I218" i="13" s="1"/>
  <c r="G273" i="20" l="1"/>
  <c r="I273" i="20" s="1"/>
  <c r="K336" i="24"/>
  <c r="I336" i="24" s="1"/>
  <c r="K321" i="24"/>
  <c r="F152" i="8" s="1"/>
  <c r="C175" i="3"/>
  <c r="K175" i="3" s="1"/>
  <c r="K283" i="20"/>
  <c r="K330" i="3"/>
  <c r="I330" i="3" s="1"/>
  <c r="I313" i="3"/>
  <c r="K313" i="3" s="1"/>
  <c r="K315" i="3" s="1"/>
  <c r="I315" i="3" s="1"/>
  <c r="G341" i="13"/>
  <c r="I341" i="13" s="1"/>
  <c r="K341" i="13" s="1"/>
  <c r="K159" i="3"/>
  <c r="K218" i="13"/>
  <c r="F201" i="8" l="1"/>
  <c r="K4" i="20"/>
  <c r="D48" i="8"/>
  <c r="F48" i="8"/>
  <c r="D153" i="8"/>
  <c r="F153" i="8"/>
  <c r="F151" i="8" s="1"/>
  <c r="F225" i="8" s="1"/>
  <c r="K4" i="24"/>
  <c r="I321" i="24"/>
  <c r="D152" i="8" s="1"/>
  <c r="I283" i="20"/>
  <c r="D201" i="8" s="1"/>
  <c r="D47" i="8"/>
  <c r="F47" i="8"/>
  <c r="K349" i="13"/>
  <c r="F101" i="8" l="1"/>
  <c r="F103" i="8"/>
  <c r="F162" i="8"/>
  <c r="I131" i="20" l="1"/>
  <c r="D177" i="8" s="1"/>
  <c r="D77" i="8"/>
  <c r="I28" i="13" l="1"/>
  <c r="K28" i="13" s="1"/>
  <c r="I30" i="3"/>
  <c r="K30" i="3" s="1"/>
  <c r="I30" i="13" l="1"/>
  <c r="K30" i="13" s="1"/>
  <c r="I32" i="3"/>
  <c r="K32" i="3" s="1"/>
  <c r="I27" i="3"/>
  <c r="K27" i="3" s="1"/>
  <c r="I32" i="13"/>
  <c r="K32" i="13" s="1"/>
  <c r="B14" i="8"/>
  <c r="B9" i="8"/>
  <c r="B8" i="8"/>
  <c r="G304" i="3"/>
  <c r="I304" i="3" s="1"/>
  <c r="G305" i="3"/>
  <c r="I305" i="3" s="1"/>
  <c r="G306" i="3"/>
  <c r="I306" i="3" s="1"/>
  <c r="G307" i="3"/>
  <c r="I307" i="3" s="1"/>
  <c r="I308" i="3"/>
  <c r="B303" i="3" a="1"/>
  <c r="A13" i="9"/>
  <c r="C74" i="3"/>
  <c r="C306" i="3" l="1"/>
  <c r="C308" i="3"/>
  <c r="C305" i="3"/>
  <c r="C307" i="3"/>
  <c r="C304" i="3"/>
  <c r="B216" i="8"/>
  <c r="B230" i="8"/>
  <c r="B223" i="8"/>
  <c r="K38" i="13"/>
  <c r="K38" i="3"/>
  <c r="B303" i="3"/>
  <c r="D303" i="3" s="1"/>
  <c r="F63" i="8" l="1"/>
  <c r="D304" i="3"/>
  <c r="D308" i="3"/>
  <c r="D305" i="3"/>
  <c r="D307" i="3"/>
  <c r="K307" i="3" s="1"/>
  <c r="D306" i="3"/>
  <c r="K306" i="3" s="1"/>
  <c r="I38" i="3"/>
  <c r="D10" i="8" s="1"/>
  <c r="I38" i="13"/>
  <c r="C303" i="3"/>
  <c r="F10" i="8"/>
  <c r="K305" i="3"/>
  <c r="K304" i="3"/>
  <c r="D63" i="8" l="1"/>
  <c r="C64" i="8"/>
  <c r="K308" i="3"/>
  <c r="K310" i="3" s="1"/>
  <c r="F46" i="8" l="1"/>
  <c r="F45" i="8" s="1"/>
  <c r="F223" i="8" s="1"/>
  <c r="I310" i="3"/>
  <c r="D46" i="8" s="1"/>
  <c r="G196" i="20"/>
  <c r="I196" i="20" s="1"/>
  <c r="K196" i="20" s="1"/>
  <c r="G234" i="24"/>
  <c r="I234" i="24" s="1"/>
  <c r="K234" i="24" s="1"/>
  <c r="C197" i="3"/>
  <c r="C198" i="3" s="1"/>
  <c r="C207" i="3"/>
  <c r="C208" i="3" s="1"/>
  <c r="C73" i="3"/>
  <c r="I227" i="3"/>
  <c r="K227" i="3" s="1"/>
  <c r="K4" i="3"/>
  <c r="G261" i="13" l="1"/>
  <c r="I261" i="13" s="1"/>
  <c r="K261" i="13" s="1"/>
  <c r="G235" i="24"/>
  <c r="I235" i="24" s="1"/>
  <c r="K235" i="24" s="1"/>
  <c r="K237" i="24" s="1"/>
  <c r="F57" i="8"/>
  <c r="G197" i="20"/>
  <c r="I197" i="20" s="1"/>
  <c r="K197" i="20" s="1"/>
  <c r="I90" i="13"/>
  <c r="I117" i="13"/>
  <c r="K117" i="13" s="1"/>
  <c r="K121" i="13" s="1"/>
  <c r="F71" i="8" s="1"/>
  <c r="I103" i="13"/>
  <c r="K103" i="13" s="1"/>
  <c r="K107" i="13" s="1"/>
  <c r="F70" i="8" s="1"/>
  <c r="K199" i="20" l="1"/>
  <c r="G59" i="20"/>
  <c r="G61" i="20"/>
  <c r="I61" i="20" s="1"/>
  <c r="K61" i="20" s="1"/>
  <c r="G62" i="20"/>
  <c r="I62" i="20" s="1"/>
  <c r="K62" i="20" s="1"/>
  <c r="G60" i="20"/>
  <c r="I60" i="20" s="1"/>
  <c r="K60" i="20" s="1"/>
  <c r="G65" i="20"/>
  <c r="I65" i="20" s="1"/>
  <c r="K65" i="20" s="1"/>
  <c r="G64" i="20"/>
  <c r="I64" i="20" s="1"/>
  <c r="K64" i="20" s="1"/>
  <c r="G63" i="20"/>
  <c r="I63" i="20" s="1"/>
  <c r="K63" i="20" s="1"/>
  <c r="G263" i="13"/>
  <c r="I263" i="13" s="1"/>
  <c r="K263" i="13" s="1"/>
  <c r="G228" i="3"/>
  <c r="I228" i="3" s="1"/>
  <c r="K228" i="3" s="1"/>
  <c r="K230" i="3" s="1"/>
  <c r="I230" i="3" s="1"/>
  <c r="I231" i="3" s="1"/>
  <c r="D133" i="8"/>
  <c r="F133" i="8"/>
  <c r="D181" i="8"/>
  <c r="I107" i="13"/>
  <c r="D70" i="8" s="1"/>
  <c r="K90" i="13"/>
  <c r="K94" i="13" s="1"/>
  <c r="F69" i="8" s="1"/>
  <c r="F181" i="8" l="1"/>
  <c r="K265" i="13"/>
  <c r="I265" i="13" s="1"/>
  <c r="I266" i="13" s="1"/>
  <c r="I59" i="20"/>
  <c r="K59" i="20" s="1"/>
  <c r="D26" i="8"/>
  <c r="F26" i="8"/>
  <c r="G198" i="3"/>
  <c r="G73" i="3"/>
  <c r="I73" i="3" s="1"/>
  <c r="K73" i="3" s="1"/>
  <c r="G208" i="3"/>
  <c r="I208" i="3" s="1"/>
  <c r="K208" i="3" s="1"/>
  <c r="I94" i="13"/>
  <c r="D69" i="8" s="1"/>
  <c r="I121" i="13"/>
  <c r="D71" i="8" s="1"/>
  <c r="F81" i="8" l="1"/>
  <c r="D81" i="8"/>
  <c r="G114" i="24" a="1"/>
  <c r="G114" i="24" s="1"/>
  <c r="I114" i="24" s="1"/>
  <c r="K114" i="24" s="1"/>
  <c r="G115" i="24" a="1"/>
  <c r="G115" i="24" s="1"/>
  <c r="I115" i="24" s="1"/>
  <c r="K115" i="24" s="1"/>
  <c r="G164" i="13" a="1"/>
  <c r="G164" i="13" s="1"/>
  <c r="I164" i="13" s="1"/>
  <c r="K164" i="13" s="1"/>
  <c r="G96" i="20" a="1"/>
  <c r="G96" i="20" s="1"/>
  <c r="I96" i="20" s="1"/>
  <c r="K96" i="20" s="1"/>
  <c r="G95" i="20" a="1"/>
  <c r="G95" i="20" s="1"/>
  <c r="I95" i="20" s="1"/>
  <c r="K95" i="20" s="1"/>
  <c r="G165" i="13" a="1"/>
  <c r="G165" i="13" s="1"/>
  <c r="I165" i="13" s="1"/>
  <c r="K165" i="13" s="1"/>
  <c r="G106" i="3" a="1"/>
  <c r="G106" i="3" s="1"/>
  <c r="I106" i="3" s="1"/>
  <c r="K106" i="3" s="1"/>
  <c r="G107" i="3" a="1"/>
  <c r="G107" i="3" s="1"/>
  <c r="I107" i="3" s="1"/>
  <c r="G127" i="24" l="1" a="1"/>
  <c r="G127" i="24" s="1"/>
  <c r="I127" i="24" s="1"/>
  <c r="K127" i="24" s="1"/>
  <c r="G94" i="24" a="1"/>
  <c r="G94" i="24" s="1"/>
  <c r="I94" i="24" s="1"/>
  <c r="K94" i="24" s="1"/>
  <c r="G97" i="24" a="1"/>
  <c r="G97" i="24" s="1"/>
  <c r="I97" i="24" s="1"/>
  <c r="K97" i="24" s="1"/>
  <c r="G103" i="24" a="1"/>
  <c r="G103" i="24" s="1"/>
  <c r="I103" i="24" s="1"/>
  <c r="K103" i="24" s="1"/>
  <c r="G100" i="24" a="1"/>
  <c r="G100" i="24" s="1"/>
  <c r="I100" i="24" s="1"/>
  <c r="K100" i="24" s="1"/>
  <c r="G106" i="24" a="1"/>
  <c r="G106" i="24" s="1"/>
  <c r="I106" i="24" s="1"/>
  <c r="K106" i="24" s="1"/>
  <c r="G94" i="20" a="1"/>
  <c r="G94" i="20" s="1"/>
  <c r="I94" i="20" s="1"/>
  <c r="K94" i="20" s="1"/>
  <c r="G121" i="24" a="1"/>
  <c r="G121" i="24" s="1"/>
  <c r="I121" i="24" s="1"/>
  <c r="K121" i="24" s="1"/>
  <c r="G120" i="24" a="1"/>
  <c r="G120" i="24" s="1"/>
  <c r="I120" i="24" s="1"/>
  <c r="K120" i="24" s="1"/>
  <c r="G119" i="24" a="1"/>
  <c r="G119" i="24" s="1"/>
  <c r="I119" i="24" s="1"/>
  <c r="K119" i="24" s="1"/>
  <c r="G118" i="24" a="1"/>
  <c r="G118" i="24" s="1"/>
  <c r="I118" i="24" s="1"/>
  <c r="K118" i="24" s="1"/>
  <c r="G113" i="24" a="1"/>
  <c r="G113" i="24" s="1"/>
  <c r="I113" i="24" s="1"/>
  <c r="K113" i="24" s="1"/>
  <c r="G116" i="24" a="1"/>
  <c r="G116" i="24" s="1"/>
  <c r="I116" i="24" s="1"/>
  <c r="K116" i="24" s="1"/>
  <c r="G117" i="24" a="1"/>
  <c r="G117" i="24" s="1"/>
  <c r="I117" i="24" s="1"/>
  <c r="K117" i="24" s="1"/>
  <c r="G99" i="24" a="1"/>
  <c r="G99" i="24" s="1"/>
  <c r="I99" i="24" s="1"/>
  <c r="K99" i="24" s="1"/>
  <c r="G102" i="24" a="1"/>
  <c r="G102" i="24" s="1"/>
  <c r="I102" i="24" s="1"/>
  <c r="K102" i="24" s="1"/>
  <c r="G105" i="24" a="1"/>
  <c r="G105" i="24" s="1"/>
  <c r="I105" i="24" s="1"/>
  <c r="K105" i="24" s="1"/>
  <c r="G96" i="24" a="1"/>
  <c r="G96" i="24" s="1"/>
  <c r="I96" i="24" s="1"/>
  <c r="K96" i="24" s="1"/>
  <c r="G104" i="24" a="1"/>
  <c r="G104" i="24" s="1"/>
  <c r="I104" i="24" s="1"/>
  <c r="K104" i="24" s="1"/>
  <c r="G95" i="24" a="1"/>
  <c r="G95" i="24" s="1"/>
  <c r="I95" i="24" s="1"/>
  <c r="K95" i="24" s="1"/>
  <c r="G107" i="24" a="1"/>
  <c r="G107" i="24" s="1"/>
  <c r="I107" i="24" s="1"/>
  <c r="K107" i="24" s="1"/>
  <c r="G101" i="24" a="1"/>
  <c r="G101" i="24" s="1"/>
  <c r="I101" i="24" s="1"/>
  <c r="K101" i="24" s="1"/>
  <c r="G92" i="24" a="1"/>
  <c r="G92" i="24" s="1"/>
  <c r="I92" i="24" s="1"/>
  <c r="K92" i="24" s="1"/>
  <c r="G93" i="24" a="1"/>
  <c r="G93" i="24" s="1"/>
  <c r="I93" i="24" s="1"/>
  <c r="K93" i="24" s="1"/>
  <c r="G98" i="24" a="1"/>
  <c r="G98" i="24" s="1"/>
  <c r="I98" i="24" s="1"/>
  <c r="K98" i="24" s="1"/>
  <c r="G101" i="20" a="1"/>
  <c r="G101" i="20" s="1"/>
  <c r="I101" i="20" s="1"/>
  <c r="K101" i="20" s="1"/>
  <c r="G98" i="20" a="1"/>
  <c r="G98" i="20" s="1"/>
  <c r="I98" i="20" s="1"/>
  <c r="K98" i="20" s="1"/>
  <c r="G100" i="20" a="1"/>
  <c r="G100" i="20" s="1"/>
  <c r="I100" i="20" s="1"/>
  <c r="K100" i="20" s="1"/>
  <c r="G102" i="20" a="1"/>
  <c r="G102" i="20" s="1"/>
  <c r="I102" i="20" s="1"/>
  <c r="K102" i="20" s="1"/>
  <c r="G97" i="20" a="1"/>
  <c r="G97" i="20" s="1"/>
  <c r="I97" i="20" s="1"/>
  <c r="K97" i="20" s="1"/>
  <c r="G99" i="20" a="1"/>
  <c r="G99" i="20" s="1"/>
  <c r="I99" i="20" s="1"/>
  <c r="K99" i="20" s="1"/>
  <c r="G87" i="20" a="1"/>
  <c r="G87" i="20" s="1"/>
  <c r="I87" i="20" s="1"/>
  <c r="K87" i="20" s="1"/>
  <c r="G84" i="20" a="1"/>
  <c r="G84" i="20" s="1"/>
  <c r="I84" i="20" s="1"/>
  <c r="K84" i="20" s="1"/>
  <c r="G75" i="20" a="1"/>
  <c r="G75" i="20" s="1"/>
  <c r="I75" i="20" s="1"/>
  <c r="K75" i="20" s="1"/>
  <c r="G81" i="20" a="1"/>
  <c r="G81" i="20" s="1"/>
  <c r="I81" i="20" s="1"/>
  <c r="K81" i="20" s="1"/>
  <c r="G78" i="20" a="1"/>
  <c r="G78" i="20" s="1"/>
  <c r="I78" i="20" s="1"/>
  <c r="K78" i="20" s="1"/>
  <c r="G77" i="20" a="1"/>
  <c r="G77" i="20" s="1"/>
  <c r="I77" i="20" s="1"/>
  <c r="K77" i="20" s="1"/>
  <c r="G86" i="20" a="1"/>
  <c r="G86" i="20" s="1"/>
  <c r="I86" i="20" s="1"/>
  <c r="K86" i="20" s="1"/>
  <c r="G80" i="20" a="1"/>
  <c r="G80" i="20" s="1"/>
  <c r="I80" i="20" s="1"/>
  <c r="K80" i="20" s="1"/>
  <c r="G83" i="20" a="1"/>
  <c r="G83" i="20" s="1"/>
  <c r="I83" i="20" s="1"/>
  <c r="K83" i="20" s="1"/>
  <c r="G82" i="20" a="1"/>
  <c r="G82" i="20" s="1"/>
  <c r="I82" i="20" s="1"/>
  <c r="K82" i="20" s="1"/>
  <c r="G73" i="20" a="1"/>
  <c r="G73" i="20" s="1"/>
  <c r="I73" i="20" s="1"/>
  <c r="K73" i="20" s="1"/>
  <c r="G74" i="20" a="1"/>
  <c r="G74" i="20" s="1"/>
  <c r="I74" i="20" s="1"/>
  <c r="K74" i="20" s="1"/>
  <c r="G76" i="20" a="1"/>
  <c r="G76" i="20" s="1"/>
  <c r="I76" i="20" s="1"/>
  <c r="K76" i="20" s="1"/>
  <c r="G85" i="20" a="1"/>
  <c r="G85" i="20" s="1"/>
  <c r="I85" i="20" s="1"/>
  <c r="K85" i="20" s="1"/>
  <c r="G79" i="20" a="1"/>
  <c r="G79" i="20" s="1"/>
  <c r="I79" i="20" s="1"/>
  <c r="K79" i="20" s="1"/>
  <c r="G88" i="20" a="1"/>
  <c r="G88" i="20" s="1"/>
  <c r="I88" i="20" s="1"/>
  <c r="K88" i="20" s="1"/>
  <c r="G108" i="20" a="1"/>
  <c r="G108" i="20" s="1"/>
  <c r="I108" i="20" s="1"/>
  <c r="K108" i="20" s="1"/>
  <c r="G112" i="3" a="1"/>
  <c r="G112" i="3" s="1"/>
  <c r="I112" i="3" s="1"/>
  <c r="K112" i="3" s="1"/>
  <c r="G163" i="13" a="1"/>
  <c r="G163" i="13" s="1"/>
  <c r="I163" i="13" s="1"/>
  <c r="K163" i="13" s="1"/>
  <c r="G105" i="3" a="1"/>
  <c r="G105" i="3" s="1"/>
  <c r="I105" i="3" s="1"/>
  <c r="K105" i="3" s="1"/>
  <c r="G113" i="3" a="1"/>
  <c r="G113" i="3" s="1"/>
  <c r="I113" i="3" s="1"/>
  <c r="K113" i="3" s="1"/>
  <c r="G108" i="3" a="1"/>
  <c r="G108" i="3" s="1"/>
  <c r="I108" i="3" s="1"/>
  <c r="K108" i="3" s="1"/>
  <c r="G109" i="3" a="1"/>
  <c r="G109" i="3" s="1"/>
  <c r="I109" i="3" s="1"/>
  <c r="K109" i="3" s="1"/>
  <c r="G111" i="3" a="1"/>
  <c r="G111" i="3" s="1"/>
  <c r="I111" i="3" s="1"/>
  <c r="K111" i="3" s="1"/>
  <c r="G110" i="3" a="1"/>
  <c r="G110" i="3" s="1"/>
  <c r="I110" i="3" s="1"/>
  <c r="K110" i="3" s="1"/>
  <c r="G156" i="13" a="1"/>
  <c r="G156" i="13" s="1"/>
  <c r="I156" i="13" s="1"/>
  <c r="K156" i="13" s="1"/>
  <c r="G150" i="13" a="1"/>
  <c r="G150" i="13" s="1"/>
  <c r="I150" i="13" s="1"/>
  <c r="K150" i="13" s="1"/>
  <c r="G144" i="13" a="1"/>
  <c r="G144" i="13" s="1"/>
  <c r="I144" i="13" s="1"/>
  <c r="K144" i="13" s="1"/>
  <c r="G153" i="13" a="1"/>
  <c r="G153" i="13" s="1"/>
  <c r="I153" i="13" s="1"/>
  <c r="K153" i="13" s="1"/>
  <c r="G147" i="13" a="1"/>
  <c r="G147" i="13" s="1"/>
  <c r="I147" i="13" s="1"/>
  <c r="K147" i="13" s="1"/>
  <c r="G154" i="13" a="1"/>
  <c r="G154" i="13" s="1"/>
  <c r="I154" i="13" s="1"/>
  <c r="K154" i="13" s="1"/>
  <c r="G157" i="13" a="1"/>
  <c r="G157" i="13" s="1"/>
  <c r="I157" i="13" s="1"/>
  <c r="K157" i="13" s="1"/>
  <c r="G145" i="13" a="1"/>
  <c r="G145" i="13" s="1"/>
  <c r="I145" i="13" s="1"/>
  <c r="K145" i="13" s="1"/>
  <c r="G148" i="13" a="1"/>
  <c r="G148" i="13" s="1"/>
  <c r="I148" i="13" s="1"/>
  <c r="K148" i="13" s="1"/>
  <c r="G151" i="13" a="1"/>
  <c r="G151" i="13" s="1"/>
  <c r="I151" i="13" s="1"/>
  <c r="K151" i="13" s="1"/>
  <c r="G171" i="13" a="1"/>
  <c r="G171" i="13" s="1"/>
  <c r="I171" i="13" s="1"/>
  <c r="K171" i="13" s="1"/>
  <c r="G168" i="13" a="1"/>
  <c r="G168" i="13" s="1"/>
  <c r="I168" i="13" s="1"/>
  <c r="K168" i="13" s="1"/>
  <c r="G172" i="13" a="1"/>
  <c r="G172" i="13" s="1"/>
  <c r="I172" i="13" s="1"/>
  <c r="K172" i="13" s="1"/>
  <c r="G169" i="13" a="1"/>
  <c r="G169" i="13" s="1"/>
  <c r="I169" i="13" s="1"/>
  <c r="K169" i="13" s="1"/>
  <c r="G166" i="13" a="1"/>
  <c r="G166" i="13" s="1"/>
  <c r="I166" i="13" s="1"/>
  <c r="K166" i="13" s="1"/>
  <c r="G167" i="13" a="1"/>
  <c r="G167" i="13" s="1"/>
  <c r="I167" i="13" s="1"/>
  <c r="K167" i="13" s="1"/>
  <c r="G170" i="13" a="1"/>
  <c r="G170" i="13" s="1"/>
  <c r="I170" i="13" s="1"/>
  <c r="K170" i="13" s="1"/>
  <c r="G155" i="13" a="1"/>
  <c r="G155" i="13" s="1"/>
  <c r="I155" i="13" s="1"/>
  <c r="K155" i="13" s="1"/>
  <c r="G152" i="13" a="1"/>
  <c r="G152" i="13" s="1"/>
  <c r="I152" i="13" s="1"/>
  <c r="K152" i="13" s="1"/>
  <c r="G149" i="13" a="1"/>
  <c r="G149" i="13" s="1"/>
  <c r="I149" i="13" s="1"/>
  <c r="K149" i="13" s="1"/>
  <c r="G143" i="13" a="1"/>
  <c r="G143" i="13" s="1"/>
  <c r="I143" i="13" s="1"/>
  <c r="K143" i="13" s="1"/>
  <c r="G146" i="13" a="1"/>
  <c r="G146" i="13" s="1"/>
  <c r="I146" i="13" s="1"/>
  <c r="K146" i="13" s="1"/>
  <c r="G178" i="13" a="1"/>
  <c r="G178" i="13" s="1"/>
  <c r="I178" i="13" s="1"/>
  <c r="K178" i="13" s="1"/>
  <c r="G119" i="3" a="1"/>
  <c r="G119" i="3" s="1"/>
  <c r="I119" i="3" s="1"/>
  <c r="K119" i="3" s="1"/>
  <c r="G98" i="3" a="1"/>
  <c r="G98" i="3" s="1"/>
  <c r="I98" i="3" s="1"/>
  <c r="K98" i="3" s="1"/>
  <c r="G95" i="3" a="1"/>
  <c r="G95" i="3" s="1"/>
  <c r="I95" i="3" s="1"/>
  <c r="K95" i="3" s="1"/>
  <c r="G92" i="3" a="1"/>
  <c r="G92" i="3" s="1"/>
  <c r="I92" i="3" s="1"/>
  <c r="K92" i="3" s="1"/>
  <c r="G86" i="3" a="1"/>
  <c r="G86" i="3" s="1"/>
  <c r="I86" i="3" s="1"/>
  <c r="K86" i="3" s="1"/>
  <c r="G89" i="3" a="1"/>
  <c r="G89" i="3" s="1"/>
  <c r="I89" i="3" s="1"/>
  <c r="K89" i="3" s="1"/>
  <c r="G94" i="3" a="1"/>
  <c r="G94" i="3" s="1"/>
  <c r="I94" i="3" s="1"/>
  <c r="K94" i="3" s="1"/>
  <c r="G88" i="3" a="1"/>
  <c r="G88" i="3" s="1"/>
  <c r="I88" i="3" s="1"/>
  <c r="K88" i="3" s="1"/>
  <c r="G97" i="3" a="1"/>
  <c r="G97" i="3" s="1"/>
  <c r="I97" i="3" s="1"/>
  <c r="K97" i="3" s="1"/>
  <c r="G91" i="3" a="1"/>
  <c r="G91" i="3" s="1"/>
  <c r="I91" i="3" s="1"/>
  <c r="K91" i="3" s="1"/>
  <c r="G85" i="3" a="1"/>
  <c r="G85" i="3" s="1"/>
  <c r="I85" i="3" s="1"/>
  <c r="K85" i="3" s="1"/>
  <c r="G90" i="3" a="1"/>
  <c r="G90" i="3" s="1"/>
  <c r="I90" i="3" s="1"/>
  <c r="K90" i="3" s="1"/>
  <c r="G93" i="3" a="1"/>
  <c r="G93" i="3" s="1"/>
  <c r="I93" i="3" s="1"/>
  <c r="K93" i="3" s="1"/>
  <c r="G96" i="3" a="1"/>
  <c r="G96" i="3" s="1"/>
  <c r="I96" i="3" s="1"/>
  <c r="K96" i="3" s="1"/>
  <c r="G87" i="3" a="1"/>
  <c r="G87" i="3" s="1"/>
  <c r="I87" i="3" s="1"/>
  <c r="K87" i="3" s="1"/>
  <c r="G99" i="3" a="1"/>
  <c r="G99" i="3" s="1"/>
  <c r="I99" i="3" s="1"/>
  <c r="K99" i="3" s="1"/>
  <c r="G128" i="24" l="1" a="1"/>
  <c r="G128" i="24" s="1"/>
  <c r="I128" i="24" s="1"/>
  <c r="K128" i="24" s="1"/>
  <c r="K130" i="24" s="1"/>
  <c r="G72" i="20" a="1"/>
  <c r="G72" i="20" s="1"/>
  <c r="I72" i="20" s="1"/>
  <c r="K72" i="20" s="1"/>
  <c r="G91" i="24" a="1"/>
  <c r="G91" i="24" s="1"/>
  <c r="I91" i="24" s="1"/>
  <c r="K91" i="24" s="1"/>
  <c r="G71" i="20" a="1"/>
  <c r="G71" i="20" s="1"/>
  <c r="I71" i="20" s="1"/>
  <c r="K71" i="20" s="1"/>
  <c r="G90" i="24" a="1"/>
  <c r="G90" i="24" s="1"/>
  <c r="I90" i="24" s="1"/>
  <c r="K90" i="24" s="1"/>
  <c r="K123" i="24"/>
  <c r="K104" i="20"/>
  <c r="F174" i="8" s="1"/>
  <c r="G179" i="13" a="1"/>
  <c r="G179" i="13" s="1"/>
  <c r="I179" i="13" s="1"/>
  <c r="K179" i="13" s="1"/>
  <c r="K181" i="13" s="1"/>
  <c r="F75" i="8" s="1"/>
  <c r="G109" i="20" a="1"/>
  <c r="G109" i="20" s="1"/>
  <c r="I109" i="20" s="1"/>
  <c r="K109" i="20" s="1"/>
  <c r="K111" i="20" s="1"/>
  <c r="F175" i="8" s="1"/>
  <c r="K174" i="13"/>
  <c r="F74" i="8" s="1"/>
  <c r="G142" i="13" a="1"/>
  <c r="G142" i="13" s="1"/>
  <c r="I142" i="13" s="1"/>
  <c r="K142" i="13" s="1"/>
  <c r="G140" i="13" a="1"/>
  <c r="G140" i="13" s="1"/>
  <c r="I140" i="13" s="1"/>
  <c r="K140" i="13" s="1"/>
  <c r="G141" i="13" a="1"/>
  <c r="G141" i="13" s="1"/>
  <c r="I141" i="13" s="1"/>
  <c r="K141" i="13" s="1"/>
  <c r="G120" i="3" a="1"/>
  <c r="G120" i="3" s="1"/>
  <c r="I120" i="3" s="1"/>
  <c r="K120" i="3" s="1"/>
  <c r="G84" i="3" a="1"/>
  <c r="G84" i="3" s="1"/>
  <c r="I84" i="3" s="1"/>
  <c r="K84" i="3" s="1"/>
  <c r="K107" i="3"/>
  <c r="K115" i="3" s="1"/>
  <c r="G82" i="3" a="1"/>
  <c r="G82" i="3" s="1"/>
  <c r="I82" i="3" s="1"/>
  <c r="K82" i="3" s="1"/>
  <c r="G83" i="3" a="1"/>
  <c r="G83" i="3" s="1"/>
  <c r="I83" i="3" s="1"/>
  <c r="K83" i="3" s="1"/>
  <c r="I123" i="24" l="1"/>
  <c r="D124" i="8" s="1"/>
  <c r="F124" i="8"/>
  <c r="I130" i="24"/>
  <c r="D125" i="8" s="1"/>
  <c r="F125" i="8"/>
  <c r="K90" i="20"/>
  <c r="K109" i="24"/>
  <c r="I104" i="20"/>
  <c r="D174" i="8" s="1"/>
  <c r="I111" i="20"/>
  <c r="D175" i="8" s="1"/>
  <c r="I174" i="13"/>
  <c r="K101" i="3"/>
  <c r="I101" i="3" s="1"/>
  <c r="K159" i="13"/>
  <c r="F73" i="8" s="1"/>
  <c r="K122" i="3"/>
  <c r="I122" i="3" s="1"/>
  <c r="D20" i="8" s="1"/>
  <c r="I115" i="3"/>
  <c r="D19" i="8" s="1"/>
  <c r="I181" i="13"/>
  <c r="F173" i="8" l="1"/>
  <c r="I109" i="24"/>
  <c r="D123" i="8" s="1"/>
  <c r="F123" i="8"/>
  <c r="I90" i="20"/>
  <c r="D173" i="8" s="1"/>
  <c r="D75" i="8"/>
  <c r="D74" i="8"/>
  <c r="F20" i="8"/>
  <c r="F19" i="8"/>
  <c r="I159" i="13"/>
  <c r="D73" i="8" s="1"/>
  <c r="D18" i="8"/>
  <c r="F18" i="8"/>
  <c r="G53" i="20" l="1"/>
  <c r="C52" i="20"/>
  <c r="C53" i="20" s="1"/>
  <c r="G45" i="20"/>
  <c r="I45" i="20" s="1"/>
  <c r="K45" i="20" s="1"/>
  <c r="G37" i="20"/>
  <c r="I37" i="20" s="1"/>
  <c r="C37" i="20"/>
  <c r="I35" i="20"/>
  <c r="K35" i="20" s="1"/>
  <c r="I44" i="20"/>
  <c r="K44" i="20" s="1"/>
  <c r="I53" i="20"/>
  <c r="K30" i="20"/>
  <c r="C74" i="13"/>
  <c r="C75" i="13" s="1"/>
  <c r="G254" i="24"/>
  <c r="I254" i="24" s="1"/>
  <c r="C253" i="24"/>
  <c r="C254" i="24" s="1"/>
  <c r="C281" i="13"/>
  <c r="C282" i="13" s="1"/>
  <c r="C246" i="3"/>
  <c r="C247" i="3" s="1"/>
  <c r="C215" i="20"/>
  <c r="C216" i="20" s="1"/>
  <c r="C81" i="24"/>
  <c r="C82" i="24" s="1"/>
  <c r="C243" i="24"/>
  <c r="C244" i="24" s="1"/>
  <c r="C236" i="3"/>
  <c r="C237" i="3" s="1"/>
  <c r="C205" i="20"/>
  <c r="C206" i="20" s="1"/>
  <c r="C130" i="13"/>
  <c r="C131" i="13" s="1"/>
  <c r="C271" i="13"/>
  <c r="C272" i="13" s="1"/>
  <c r="G206" i="24"/>
  <c r="I206" i="24" s="1"/>
  <c r="C205" i="24"/>
  <c r="C206" i="24" s="1"/>
  <c r="G215" i="24"/>
  <c r="I215" i="24" s="1"/>
  <c r="C68" i="24"/>
  <c r="C214" i="24"/>
  <c r="C215" i="24" s="1"/>
  <c r="G68" i="24"/>
  <c r="I68" i="24" s="1"/>
  <c r="G168" i="24"/>
  <c r="I168" i="24" s="1"/>
  <c r="G184" i="24"/>
  <c r="I184" i="24" s="1"/>
  <c r="C263" i="24"/>
  <c r="C264" i="24" s="1"/>
  <c r="G264" i="24"/>
  <c r="I264" i="24" s="1"/>
  <c r="C168" i="24"/>
  <c r="C291" i="13"/>
  <c r="C292" i="13" s="1"/>
  <c r="C256" i="3"/>
  <c r="C257" i="3" s="1"/>
  <c r="C225" i="20"/>
  <c r="C226" i="20" s="1"/>
  <c r="C184" i="24"/>
  <c r="C165" i="20"/>
  <c r="C235" i="13"/>
  <c r="C219" i="13"/>
  <c r="C176" i="3"/>
  <c r="G216" i="20"/>
  <c r="I216" i="20" s="1"/>
  <c r="G149" i="20"/>
  <c r="I149" i="20" s="1"/>
  <c r="G226" i="20"/>
  <c r="I226" i="20" s="1"/>
  <c r="G165" i="20"/>
  <c r="I165" i="20" s="1"/>
  <c r="G75" i="13"/>
  <c r="I75" i="13" s="1"/>
  <c r="G282" i="13"/>
  <c r="I282" i="13" s="1"/>
  <c r="G292" i="13"/>
  <c r="I292" i="13" s="1"/>
  <c r="G247" i="3"/>
  <c r="I247" i="3" s="1"/>
  <c r="G176" i="3"/>
  <c r="I176" i="3" s="1"/>
  <c r="G257" i="3"/>
  <c r="I257" i="3" s="1"/>
  <c r="I198" i="3"/>
  <c r="G160" i="3"/>
  <c r="I160" i="3" s="1"/>
  <c r="G235" i="13"/>
  <c r="I235" i="13" s="1"/>
  <c r="G219" i="13"/>
  <c r="I219" i="13" s="1"/>
  <c r="H8" i="9"/>
  <c r="N8" i="9"/>
  <c r="N9" i="9"/>
  <c r="N10" i="9"/>
  <c r="N11" i="9"/>
  <c r="N7" i="9"/>
  <c r="B2" i="9"/>
  <c r="B2" i="11"/>
  <c r="B2" i="7"/>
  <c r="B2" i="5"/>
  <c r="B2" i="4"/>
  <c r="B2" i="3"/>
  <c r="B2" i="8"/>
  <c r="K67" i="20" l="1"/>
  <c r="K53" i="20"/>
  <c r="K55" i="20" s="1"/>
  <c r="F171" i="8" s="1"/>
  <c r="K47" i="20"/>
  <c r="F170" i="8" s="1"/>
  <c r="K37" i="20"/>
  <c r="K39" i="20" s="1"/>
  <c r="F168" i="8"/>
  <c r="D168" i="8"/>
  <c r="K168" i="24"/>
  <c r="K219" i="13"/>
  <c r="K68" i="24"/>
  <c r="K215" i="24"/>
  <c r="K219" i="24" s="1"/>
  <c r="K254" i="24"/>
  <c r="K258" i="24" s="1"/>
  <c r="K160" i="3"/>
  <c r="K235" i="13"/>
  <c r="K238" i="13" s="1"/>
  <c r="F79" i="8" s="1"/>
  <c r="K264" i="24"/>
  <c r="K268" i="24" s="1"/>
  <c r="K206" i="24"/>
  <c r="K209" i="24" s="1"/>
  <c r="K165" i="20"/>
  <c r="K168" i="20" s="1"/>
  <c r="F179" i="8" s="1"/>
  <c r="K184" i="24"/>
  <c r="K187" i="24" s="1"/>
  <c r="K200" i="3"/>
  <c r="K210" i="3"/>
  <c r="K212" i="3" s="1"/>
  <c r="K226" i="20"/>
  <c r="K230" i="20" s="1"/>
  <c r="F184" i="8" s="1"/>
  <c r="K216" i="20"/>
  <c r="K220" i="20" s="1"/>
  <c r="F183" i="8" s="1"/>
  <c r="K75" i="13"/>
  <c r="K79" i="13" s="1"/>
  <c r="F68" i="8" s="1"/>
  <c r="K282" i="13"/>
  <c r="K292" i="13"/>
  <c r="K257" i="3"/>
  <c r="K261" i="3" s="1"/>
  <c r="K247" i="3"/>
  <c r="K251" i="3" s="1"/>
  <c r="K198" i="3"/>
  <c r="B72" i="3"/>
  <c r="K176" i="3"/>
  <c r="K179" i="3" s="1"/>
  <c r="I179" i="3" s="1"/>
  <c r="F172" i="8" l="1"/>
  <c r="I67" i="20"/>
  <c r="D172" i="8" s="1"/>
  <c r="I55" i="20"/>
  <c r="D171" i="8" s="1"/>
  <c r="I47" i="20"/>
  <c r="D170" i="8" s="1"/>
  <c r="F169" i="8"/>
  <c r="F193" i="8" s="1"/>
  <c r="I39" i="20"/>
  <c r="D169" i="8" s="1"/>
  <c r="F135" i="8"/>
  <c r="I258" i="24"/>
  <c r="D135" i="8" s="1"/>
  <c r="F136" i="8"/>
  <c r="I268" i="24"/>
  <c r="D136" i="8" s="1"/>
  <c r="I219" i="24"/>
  <c r="D132" i="8" s="1"/>
  <c r="F132" i="8"/>
  <c r="I209" i="24"/>
  <c r="D131" i="8" s="1"/>
  <c r="F131" i="8"/>
  <c r="I187" i="24"/>
  <c r="D129" i="8" s="1"/>
  <c r="F129" i="8"/>
  <c r="I168" i="20"/>
  <c r="I238" i="13"/>
  <c r="D79" i="8" s="1"/>
  <c r="I79" i="13"/>
  <c r="I230" i="20"/>
  <c r="D184" i="8" s="1"/>
  <c r="I220" i="20"/>
  <c r="D183" i="8" s="1"/>
  <c r="K202" i="3"/>
  <c r="I202" i="3" s="1"/>
  <c r="D16" i="8" s="1"/>
  <c r="D17" i="8"/>
  <c r="F17" i="8"/>
  <c r="K296" i="13"/>
  <c r="K286" i="13"/>
  <c r="F83" i="8" s="1"/>
  <c r="D24" i="8"/>
  <c r="I251" i="3"/>
  <c r="D28" i="8" s="1"/>
  <c r="F28" i="8"/>
  <c r="I261" i="3"/>
  <c r="D29" i="8" s="1"/>
  <c r="F29" i="8"/>
  <c r="D25" i="8"/>
  <c r="F25" i="8"/>
  <c r="F84" i="8" l="1"/>
  <c r="I296" i="13"/>
  <c r="D84" i="8" s="1"/>
  <c r="D179" i="8"/>
  <c r="I286" i="13"/>
  <c r="D83" i="8" s="1"/>
  <c r="F16" i="8"/>
  <c r="F24" i="8"/>
  <c r="D68" i="8"/>
  <c r="I80" i="13"/>
  <c r="G74" i="3"/>
  <c r="I74" i="3" s="1"/>
  <c r="K74" i="3" s="1"/>
  <c r="G72" i="3" l="1"/>
  <c r="I72" i="3" s="1"/>
  <c r="K72" i="3" s="1"/>
  <c r="G76" i="3"/>
  <c r="I76" i="3" s="1"/>
  <c r="K76" i="3" s="1"/>
  <c r="K78" i="3" l="1"/>
  <c r="I78" i="3" s="1"/>
  <c r="F15" i="8" l="1"/>
  <c r="F38" i="8" s="1"/>
  <c r="D15" i="8"/>
  <c r="G166" i="24" l="1"/>
  <c r="I166" i="24" s="1"/>
  <c r="K166" i="24" s="1"/>
  <c r="K170" i="24" s="1"/>
  <c r="I158" i="3"/>
  <c r="K158" i="3" s="1"/>
  <c r="G217" i="13"/>
  <c r="I217" i="13" s="1"/>
  <c r="K217" i="13" s="1"/>
  <c r="K221" i="13" s="1"/>
  <c r="G147" i="20"/>
  <c r="I147" i="20" s="1"/>
  <c r="I170" i="24" l="1"/>
  <c r="D128" i="8" s="1"/>
  <c r="F128" i="8"/>
  <c r="K162" i="3"/>
  <c r="F23" i="8" s="1"/>
  <c r="I221" i="13"/>
  <c r="D78" i="8" s="1"/>
  <c r="F78" i="8"/>
  <c r="I162" i="3" l="1"/>
  <c r="D23" i="8" s="1"/>
  <c r="G51" i="24" l="1"/>
  <c r="I51" i="24" s="1"/>
  <c r="K51" i="24" s="1"/>
  <c r="G53" i="24"/>
  <c r="I53" i="24" s="1"/>
  <c r="K53" i="24" s="1"/>
  <c r="G52" i="24"/>
  <c r="I52" i="24" s="1"/>
  <c r="K52" i="24" s="1"/>
  <c r="G50" i="24"/>
  <c r="I50" i="24" s="1"/>
  <c r="K50" i="24" s="1"/>
  <c r="G58" i="13"/>
  <c r="I58" i="13" s="1"/>
  <c r="K58" i="13" s="1"/>
  <c r="G59" i="13"/>
  <c r="I59" i="13" s="1"/>
  <c r="K59" i="13" s="1"/>
  <c r="G56" i="13"/>
  <c r="I56" i="13" s="1"/>
  <c r="K56" i="13" s="1"/>
  <c r="G55" i="13"/>
  <c r="I55" i="13" s="1"/>
  <c r="K55" i="13" s="1"/>
  <c r="G57" i="3"/>
  <c r="I57" i="3" s="1"/>
  <c r="K57" i="3" s="1"/>
  <c r="G59" i="3"/>
  <c r="I59" i="3" s="1"/>
  <c r="K59" i="3" s="1"/>
  <c r="G56" i="3"/>
  <c r="I56" i="3" s="1"/>
  <c r="K56" i="3" s="1"/>
  <c r="G58" i="3"/>
  <c r="I58" i="3" s="1"/>
  <c r="K58" i="3" s="1"/>
  <c r="G49" i="24" l="1"/>
  <c r="I49" i="24" s="1"/>
  <c r="K49" i="24" s="1"/>
  <c r="K55" i="24" s="1"/>
  <c r="G57" i="13"/>
  <c r="I57" i="13" s="1"/>
  <c r="K57" i="13" s="1"/>
  <c r="G54" i="13"/>
  <c r="I54" i="13" s="1"/>
  <c r="K54" i="13" s="1"/>
  <c r="G55" i="3"/>
  <c r="I55" i="3" s="1"/>
  <c r="K55" i="3" s="1"/>
  <c r="K61" i="3" s="1"/>
  <c r="I140" i="24" l="1"/>
  <c r="D126" i="8" s="1"/>
  <c r="I55" i="24"/>
  <c r="D119" i="8" s="1"/>
  <c r="F119" i="8"/>
  <c r="K61" i="13"/>
  <c r="F66" i="8" s="1"/>
  <c r="I61" i="3"/>
  <c r="D13" i="8" s="1"/>
  <c r="F13" i="8"/>
  <c r="I61" i="13" l="1"/>
  <c r="D66" i="8" s="1"/>
  <c r="I128" i="13" l="1"/>
  <c r="K128" i="13" l="1"/>
  <c r="G65" i="13" l="1"/>
  <c r="I65" i="13" s="1"/>
  <c r="K65" i="13" s="1"/>
  <c r="G66" i="13"/>
  <c r="I66" i="13" s="1"/>
  <c r="K66" i="13" s="1"/>
  <c r="G60" i="24"/>
  <c r="G42" i="3"/>
  <c r="I42" i="3" s="1"/>
  <c r="K42" i="3" s="1"/>
  <c r="K44" i="3" s="1"/>
  <c r="G244" i="24"/>
  <c r="I244" i="24" s="1"/>
  <c r="K244" i="24" s="1"/>
  <c r="K248" i="24" s="1"/>
  <c r="G82" i="24"/>
  <c r="I82" i="24" s="1"/>
  <c r="K82" i="24" s="1"/>
  <c r="G206" i="20"/>
  <c r="I206" i="20" s="1"/>
  <c r="K206" i="20" s="1"/>
  <c r="K210" i="20" s="1"/>
  <c r="F182" i="8" s="1"/>
  <c r="G49" i="3"/>
  <c r="I49" i="3" s="1"/>
  <c r="K49" i="3" s="1"/>
  <c r="G237" i="3"/>
  <c r="I237" i="3" s="1"/>
  <c r="K237" i="3" s="1"/>
  <c r="K241" i="3" s="1"/>
  <c r="G131" i="13"/>
  <c r="I131" i="13" s="1"/>
  <c r="K131" i="13" s="1"/>
  <c r="K136" i="13" s="1"/>
  <c r="G272" i="13"/>
  <c r="I272" i="13" s="1"/>
  <c r="K272" i="13" s="1"/>
  <c r="K276" i="13" s="1"/>
  <c r="F82" i="8" s="1"/>
  <c r="F72" i="8" l="1"/>
  <c r="F93" i="8" s="1"/>
  <c r="F97" i="8" s="1"/>
  <c r="I136" i="13"/>
  <c r="D72" i="8" s="1"/>
  <c r="G42" i="13"/>
  <c r="I42" i="13" s="1"/>
  <c r="K42" i="13" s="1"/>
  <c r="K44" i="13" s="1"/>
  <c r="G43" i="24"/>
  <c r="I43" i="24" s="1"/>
  <c r="K43" i="24" s="1"/>
  <c r="K45" i="24" s="1"/>
  <c r="F134" i="8"/>
  <c r="D134" i="8"/>
  <c r="I210" i="20"/>
  <c r="D182" i="8" s="1"/>
  <c r="F11" i="8"/>
  <c r="I44" i="3"/>
  <c r="D11" i="8" s="1"/>
  <c r="I276" i="13"/>
  <c r="D82" i="8" s="1"/>
  <c r="G48" i="13"/>
  <c r="I48" i="13" s="1"/>
  <c r="K48" i="13" s="1"/>
  <c r="K50" i="13" s="1"/>
  <c r="F65" i="8" s="1"/>
  <c r="G48" i="3"/>
  <c r="I48" i="3" s="1"/>
  <c r="K48" i="3" s="1"/>
  <c r="K51" i="3" s="1"/>
  <c r="G59" i="24"/>
  <c r="I59" i="24" s="1"/>
  <c r="K59" i="24" s="1"/>
  <c r="K68" i="13"/>
  <c r="F67" i="8" s="1"/>
  <c r="F27" i="8"/>
  <c r="D27" i="8"/>
  <c r="F64" i="8" l="1"/>
  <c r="G146" i="24"/>
  <c r="I146" i="24" s="1"/>
  <c r="K146" i="24" s="1"/>
  <c r="G127" i="20"/>
  <c r="I127" i="20" s="1"/>
  <c r="K127" i="20" s="1"/>
  <c r="G145" i="24"/>
  <c r="I145" i="24" s="1"/>
  <c r="K145" i="24" s="1"/>
  <c r="G199" i="13"/>
  <c r="I199" i="13" s="1"/>
  <c r="K199" i="13" s="1"/>
  <c r="G140" i="3"/>
  <c r="I140" i="3" s="1"/>
  <c r="K140" i="3" s="1"/>
  <c r="G129" i="20"/>
  <c r="I129" i="20" s="1"/>
  <c r="K129" i="20" s="1"/>
  <c r="G139" i="3"/>
  <c r="I139" i="3" s="1"/>
  <c r="K139" i="3" s="1"/>
  <c r="G147" i="24"/>
  <c r="I147" i="24" s="1"/>
  <c r="K147" i="24" s="1"/>
  <c r="G138" i="3"/>
  <c r="I138" i="3" s="1"/>
  <c r="K138" i="3" s="1"/>
  <c r="G126" i="20"/>
  <c r="I126" i="20" s="1"/>
  <c r="K126" i="20" s="1"/>
  <c r="G197" i="13"/>
  <c r="I197" i="13" s="1"/>
  <c r="K197" i="13" s="1"/>
  <c r="G198" i="13"/>
  <c r="I198" i="13" s="1"/>
  <c r="K198" i="13" s="1"/>
  <c r="G137" i="3"/>
  <c r="I137" i="3" s="1"/>
  <c r="K137" i="3" s="1"/>
  <c r="G128" i="20"/>
  <c r="I128" i="20" s="1"/>
  <c r="K128" i="20" s="1"/>
  <c r="G148" i="24"/>
  <c r="I148" i="24" s="1"/>
  <c r="K148" i="24" s="1"/>
  <c r="G196" i="13"/>
  <c r="I196" i="13" s="1"/>
  <c r="K196" i="13" s="1"/>
  <c r="F118" i="8"/>
  <c r="G76" i="24"/>
  <c r="I76" i="24" s="1"/>
  <c r="K76" i="24" s="1"/>
  <c r="K86" i="24" s="1"/>
  <c r="F122" i="8" s="1"/>
  <c r="G66" i="24"/>
  <c r="I66" i="24" s="1"/>
  <c r="K66" i="24" s="1"/>
  <c r="G67" i="24"/>
  <c r="I67" i="24" s="1"/>
  <c r="K67" i="24" s="1"/>
  <c r="G70" i="24"/>
  <c r="I70" i="24" s="1"/>
  <c r="K70" i="24" s="1"/>
  <c r="G69" i="24"/>
  <c r="I69" i="24" s="1"/>
  <c r="K69" i="24" s="1"/>
  <c r="I44" i="13"/>
  <c r="D64" i="8" s="1"/>
  <c r="I45" i="24"/>
  <c r="D118" i="8" s="1"/>
  <c r="I60" i="24"/>
  <c r="K60" i="24" s="1"/>
  <c r="K62" i="24" s="1"/>
  <c r="G66" i="3"/>
  <c r="I66" i="3" s="1"/>
  <c r="K66" i="3" s="1"/>
  <c r="G65" i="3"/>
  <c r="I65" i="3" s="1"/>
  <c r="K65" i="3" s="1"/>
  <c r="F12" i="8"/>
  <c r="I51" i="3"/>
  <c r="D12" i="8" s="1"/>
  <c r="I50" i="13"/>
  <c r="D65" i="8" s="1"/>
  <c r="I68" i="13"/>
  <c r="D67" i="8" s="1"/>
  <c r="G144" i="24" l="1"/>
  <c r="I144" i="24" s="1"/>
  <c r="K144" i="24" s="1"/>
  <c r="K150" i="24" s="1"/>
  <c r="F127" i="8" s="1"/>
  <c r="G195" i="13"/>
  <c r="I195" i="13" s="1"/>
  <c r="K195" i="13" s="1"/>
  <c r="K201" i="13" s="1"/>
  <c r="F77" i="8" s="1"/>
  <c r="G136" i="3"/>
  <c r="I136" i="3" s="1"/>
  <c r="K136" i="3" s="1"/>
  <c r="K142" i="3" s="1"/>
  <c r="G125" i="20"/>
  <c r="I125" i="20" s="1"/>
  <c r="K125" i="20" s="1"/>
  <c r="K131" i="20" s="1"/>
  <c r="F177" i="8" s="1"/>
  <c r="G127" i="3"/>
  <c r="I127" i="3" s="1"/>
  <c r="K127" i="3" s="1"/>
  <c r="G137" i="24"/>
  <c r="I137" i="24" s="1"/>
  <c r="K137" i="24" s="1"/>
  <c r="G129" i="3"/>
  <c r="I129" i="3" s="1"/>
  <c r="K129" i="3" s="1"/>
  <c r="G136" i="24"/>
  <c r="I136" i="24" s="1"/>
  <c r="K136" i="24" s="1"/>
  <c r="G117" i="20"/>
  <c r="I117" i="20" s="1"/>
  <c r="K117" i="20" s="1"/>
  <c r="G186" i="13"/>
  <c r="I186" i="13" s="1"/>
  <c r="K186" i="13" s="1"/>
  <c r="G118" i="20"/>
  <c r="I118" i="20" s="1"/>
  <c r="K118" i="20" s="1"/>
  <c r="G188" i="13"/>
  <c r="I188" i="13" s="1"/>
  <c r="K188" i="13" s="1"/>
  <c r="G187" i="13"/>
  <c r="I187" i="13" s="1"/>
  <c r="K187" i="13" s="1"/>
  <c r="G116" i="20"/>
  <c r="I116" i="20" s="1"/>
  <c r="K116" i="20" s="1"/>
  <c r="G135" i="24"/>
  <c r="I135" i="24" s="1"/>
  <c r="K135" i="24" s="1"/>
  <c r="G128" i="3"/>
  <c r="I128" i="3" s="1"/>
  <c r="K128" i="3" s="1"/>
  <c r="D122" i="8"/>
  <c r="K72" i="24"/>
  <c r="I72" i="24" s="1"/>
  <c r="D121" i="8" s="1"/>
  <c r="I62" i="24"/>
  <c r="D120" i="8" s="1"/>
  <c r="F120" i="8"/>
  <c r="K68" i="3"/>
  <c r="F22" i="8" l="1"/>
  <c r="I142" i="3"/>
  <c r="D22" i="8" s="1"/>
  <c r="G130" i="3"/>
  <c r="I130" i="3" s="1"/>
  <c r="K130" i="3" s="1"/>
  <c r="G134" i="24"/>
  <c r="I134" i="24" s="1"/>
  <c r="K134" i="24" s="1"/>
  <c r="G138" i="24"/>
  <c r="I138" i="24" s="1"/>
  <c r="K138" i="24" s="1"/>
  <c r="G185" i="13"/>
  <c r="I185" i="13" s="1"/>
  <c r="K185" i="13" s="1"/>
  <c r="G126" i="3"/>
  <c r="I126" i="3" s="1"/>
  <c r="K126" i="3" s="1"/>
  <c r="G189" i="13"/>
  <c r="I189" i="13" s="1"/>
  <c r="K189" i="13" s="1"/>
  <c r="G115" i="20"/>
  <c r="I115" i="20" s="1"/>
  <c r="K115" i="20" s="1"/>
  <c r="G119" i="20"/>
  <c r="I119" i="20" s="1"/>
  <c r="K119" i="20" s="1"/>
  <c r="F121" i="8"/>
  <c r="F145" i="8" s="1"/>
  <c r="I68" i="3"/>
  <c r="D14" i="8" s="1"/>
  <c r="F14" i="8"/>
  <c r="C178" i="8"/>
  <c r="K132" i="3" l="1"/>
  <c r="F21" i="8" s="1"/>
  <c r="K191" i="13"/>
  <c r="K140" i="24"/>
  <c r="I191" i="13"/>
  <c r="D76" i="8" s="1"/>
  <c r="F331" i="13"/>
  <c r="I132" i="3"/>
  <c r="D21" i="8" s="1"/>
  <c r="K121" i="20"/>
  <c r="C147" i="20"/>
  <c r="F76" i="8" l="1"/>
  <c r="F294" i="3"/>
  <c r="G294" i="3" s="1"/>
  <c r="I294" i="3" s="1"/>
  <c r="K294" i="3" s="1"/>
  <c r="F126" i="8"/>
  <c r="F301" i="24"/>
  <c r="I121" i="20"/>
  <c r="D176" i="8" s="1"/>
  <c r="F176" i="8"/>
  <c r="G333" i="13"/>
  <c r="I333" i="13" s="1"/>
  <c r="K333" i="13" s="1"/>
  <c r="G331" i="13"/>
  <c r="I331" i="13" s="1"/>
  <c r="K331" i="13" s="1"/>
  <c r="G332" i="13"/>
  <c r="I332" i="13" s="1"/>
  <c r="K332" i="13" s="1"/>
  <c r="K147" i="20"/>
  <c r="C148" i="20"/>
  <c r="D32" i="8"/>
  <c r="G296" i="3" l="1"/>
  <c r="I296" i="3" s="1"/>
  <c r="K296" i="3" s="1"/>
  <c r="G295" i="3"/>
  <c r="I295" i="3" s="1"/>
  <c r="K295" i="3" s="1"/>
  <c r="K335" i="13"/>
  <c r="K2" i="13" s="1"/>
  <c r="G303" i="24"/>
  <c r="I303" i="24" s="1"/>
  <c r="K303" i="24" s="1"/>
  <c r="G302" i="24"/>
  <c r="I302" i="24" s="1"/>
  <c r="K302" i="24" s="1"/>
  <c r="G301" i="24"/>
  <c r="I301" i="24" s="1"/>
  <c r="K301" i="24" s="1"/>
  <c r="C149" i="20"/>
  <c r="K149" i="20" s="1"/>
  <c r="K148" i="20"/>
  <c r="K298" i="3" l="1"/>
  <c r="K2" i="3" s="1"/>
  <c r="K6" i="3" s="1"/>
  <c r="K305" i="24"/>
  <c r="K2" i="24" s="1"/>
  <c r="K6" i="24" s="1"/>
  <c r="K151" i="20"/>
  <c r="F32" i="8" l="1"/>
  <c r="F37" i="8" s="1"/>
  <c r="F140" i="8"/>
  <c r="F144" i="8" s="1"/>
  <c r="F263" i="20"/>
  <c r="F178" i="8"/>
  <c r="I151" i="20"/>
  <c r="D178" i="8" s="1"/>
  <c r="F36" i="8" l="1"/>
  <c r="F143" i="8"/>
  <c r="G264" i="20"/>
  <c r="G265" i="20"/>
  <c r="G263" i="20"/>
  <c r="I263" i="20" s="1"/>
  <c r="F148" i="8" l="1"/>
  <c r="F146" i="8"/>
  <c r="F218" i="8"/>
  <c r="F147" i="8"/>
  <c r="F56" i="8"/>
  <c r="F41" i="8"/>
  <c r="F39" i="8"/>
  <c r="F216" i="8"/>
  <c r="F40" i="8"/>
  <c r="F51" i="8"/>
  <c r="F161" i="8"/>
  <c r="F156" i="8"/>
  <c r="F87" i="8"/>
  <c r="F91" i="8" s="1"/>
  <c r="D87" i="8"/>
  <c r="I264" i="20"/>
  <c r="K264" i="20" s="1"/>
  <c r="I265" i="20"/>
  <c r="K265" i="20" s="1"/>
  <c r="F158" i="8" l="1"/>
  <c r="F157" i="8"/>
  <c r="F159" i="8"/>
  <c r="F95" i="8"/>
  <c r="F96" i="8"/>
  <c r="F94" i="8"/>
  <c r="F52" i="8"/>
  <c r="F54" i="8"/>
  <c r="F58" i="8"/>
  <c r="F53" i="8"/>
  <c r="F230" i="8"/>
  <c r="F232" i="8"/>
  <c r="F163" i="8"/>
  <c r="F92" i="8"/>
  <c r="K263" i="20"/>
  <c r="K267" i="20" s="1"/>
  <c r="K2" i="20" s="1"/>
  <c r="F188" i="8" l="1"/>
  <c r="F192" i="8" s="1"/>
  <c r="F217" i="8"/>
  <c r="F111" i="8"/>
  <c r="F191" i="8" l="1"/>
  <c r="F196" i="8" s="1"/>
  <c r="F219" i="8" l="1"/>
  <c r="F220" i="8" s="1"/>
  <c r="F210" i="8"/>
  <c r="K353" i="13"/>
  <c r="K363" i="13" s="1"/>
  <c r="F102" i="8" l="1"/>
  <c r="F100" i="8" s="1"/>
  <c r="F106" i="8" s="1"/>
  <c r="I363" i="13"/>
  <c r="K4" i="13"/>
  <c r="K6" i="13" s="1"/>
  <c r="F108" i="8" l="1"/>
  <c r="F109" i="8"/>
  <c r="F107" i="8"/>
  <c r="F224" i="8"/>
  <c r="F112" i="8"/>
  <c r="F231" i="8" l="1"/>
  <c r="F113" i="8"/>
  <c r="F200" i="8" l="1"/>
  <c r="F204" i="8" s="1"/>
  <c r="F226" i="8" l="1"/>
  <c r="F227" i="8" s="1"/>
  <c r="F233" i="8"/>
  <c r="F234" i="8" s="1"/>
  <c r="K6" i="20" l="1"/>
  <c r="F212" i="8" s="1"/>
  <c r="F211" i="8"/>
  <c r="F236"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<sst xmlns="http://schemas.openxmlformats.org/spreadsheetml/2006/main" count="5918" uniqueCount="1610">
  <si>
    <t>INFORMATION</t>
  </si>
  <si>
    <t xml:space="preserve">Project: </t>
  </si>
  <si>
    <t xml:space="preserve">Company: </t>
  </si>
  <si>
    <t xml:space="preserve">Site(s): </t>
  </si>
  <si>
    <t>General User Notes:</t>
  </si>
  <si>
    <t>Purpose and Scope:</t>
  </si>
  <si>
    <t>Terms and Conditions:</t>
  </si>
  <si>
    <t>Navigation:</t>
  </si>
  <si>
    <t>How to use the tool.</t>
  </si>
  <si>
    <t>SUMMARY</t>
  </si>
  <si>
    <t>Roll-up of total costs.</t>
  </si>
  <si>
    <t>SOLAR</t>
  </si>
  <si>
    <t>User input sheet for solar farms.</t>
  </si>
  <si>
    <t>WIND</t>
  </si>
  <si>
    <t>User input sheet for wind farms.</t>
  </si>
  <si>
    <t>BESS</t>
  </si>
  <si>
    <t>Summary of costs for activities.</t>
  </si>
  <si>
    <t>Rates</t>
  </si>
  <si>
    <t>List of base rates for equipment, labour, materials.</t>
  </si>
  <si>
    <t>Productivity</t>
  </si>
  <si>
    <t>Assumptions for earthmoving movement rates, storage capacities, travel speeds.</t>
  </si>
  <si>
    <t>Assumptions</t>
  </si>
  <si>
    <t>General assumptions for material properties (e.g. density), working day hours, specific weights.</t>
  </si>
  <si>
    <t>Panels</t>
  </si>
  <si>
    <t>Specifications for solar panels.</t>
  </si>
  <si>
    <t>Turbines</t>
  </si>
  <si>
    <t>Specifications for wind turbines.</t>
  </si>
  <si>
    <t>Batteries</t>
  </si>
  <si>
    <t>Specifications for battery modules.</t>
  </si>
  <si>
    <t>Preliminary early draft for testing by industry.</t>
  </si>
  <si>
    <t>Revised draft incorporating feedback from industry.</t>
  </si>
  <si>
    <t>Return to Information</t>
  </si>
  <si>
    <t>USER GUIDE</t>
  </si>
  <si>
    <t>Tool Overview</t>
  </si>
  <si>
    <t>How to Use: Sequence of Steps</t>
  </si>
  <si>
    <t>The tool has significant flexibility in how it is used. The steps below are one suggested way to create an estimate:</t>
  </si>
  <si>
    <t>Link</t>
  </si>
  <si>
    <t>#</t>
  </si>
  <si>
    <t>Step instruction</t>
  </si>
  <si>
    <t>Review the Terms and Conditions in this sheet.</t>
  </si>
  <si>
    <t>Ensure you understand the purpose, scope and limitations of the calculator.</t>
  </si>
  <si>
    <t>Enter company name and project site(s) and any general notes.</t>
  </si>
  <si>
    <t>The calculator populates the appropriate values based on the selections.</t>
  </si>
  <si>
    <t xml:space="preserve">If you wish to enter a user rate to over-ride the default calculator rate, enter your rate </t>
  </si>
  <si>
    <t>as shown below.</t>
  </si>
  <si>
    <t>and repeat the process.</t>
  </si>
  <si>
    <t>There are several reference sheets and the use is shown in the Information tab.</t>
  </si>
  <si>
    <t>How to Use: Input Sheet</t>
  </si>
  <si>
    <t>Summary Sheet</t>
  </si>
  <si>
    <t>Rates Sheet</t>
  </si>
  <si>
    <t>Rate</t>
  </si>
  <si>
    <t>Unit</t>
  </si>
  <si>
    <t>Total</t>
  </si>
  <si>
    <t>Recycling</t>
  </si>
  <si>
    <t>per turbine</t>
  </si>
  <si>
    <t>Total without land rehabilitation</t>
  </si>
  <si>
    <t>Cost before recycling</t>
  </si>
  <si>
    <t>Recycling credit</t>
  </si>
  <si>
    <t>Net cost</t>
  </si>
  <si>
    <t>Notes</t>
  </si>
  <si>
    <t>Site area and capacity</t>
  </si>
  <si>
    <t>Site Area</t>
  </si>
  <si>
    <t>ha</t>
  </si>
  <si>
    <t>Capacity</t>
  </si>
  <si>
    <t>MW</t>
  </si>
  <si>
    <t>Panel model</t>
  </si>
  <si>
    <t>Panel example 1</t>
  </si>
  <si>
    <t>Panel example 2</t>
  </si>
  <si>
    <t>Quantity of panels</t>
  </si>
  <si>
    <t>panels</t>
  </si>
  <si>
    <t>Disconnect grid</t>
  </si>
  <si>
    <t>Item</t>
  </si>
  <si>
    <t>Value</t>
  </si>
  <si>
    <t>User rate</t>
  </si>
  <si>
    <t>Rate Selected</t>
  </si>
  <si>
    <t>Rate Unit</t>
  </si>
  <si>
    <t>Cost</t>
  </si>
  <si>
    <t xml:space="preserve">sites </t>
  </si>
  <si>
    <t>site</t>
  </si>
  <si>
    <t>Totals</t>
  </si>
  <si>
    <t>Cost to disconnect grid - rate</t>
  </si>
  <si>
    <t>site              total</t>
  </si>
  <si>
    <t>Electrical cables</t>
  </si>
  <si>
    <t>Select</t>
  </si>
  <si>
    <t>Gate fee for cabling is assumed zero and can be credited in recycling.</t>
  </si>
  <si>
    <t>Disconnect and remove DC stringer cables</t>
  </si>
  <si>
    <t>km</t>
  </si>
  <si>
    <t>DC Cables - string - specific weight - 4mm2</t>
  </si>
  <si>
    <t>Disconnect and remove DC feeder cables (above ground)</t>
  </si>
  <si>
    <t>DC Cables - feeder - specific weight - single core 16mm2</t>
  </si>
  <si>
    <t>Disconnect and remove DC feeder cables (below ground)</t>
  </si>
  <si>
    <t>DC Cables - feeder - specific weight - single core 25mm2</t>
  </si>
  <si>
    <t>Disconnect and remove low voltage AC cables (below ground)</t>
  </si>
  <si>
    <t>AC Cables - low voltage - specific weight</t>
  </si>
  <si>
    <t>Disconnect and remove medium voltage AC cables (below ground)</t>
  </si>
  <si>
    <t>AC Cables - medium voltage - specific weight</t>
  </si>
  <si>
    <t>Disconnect and remove fibre/control cables</t>
  </si>
  <si>
    <t>Fibre/Control Cable - 0.75mm2</t>
  </si>
  <si>
    <t>Transport DC stringer cables</t>
  </si>
  <si>
    <t>t-km</t>
  </si>
  <si>
    <t>Haul and unload copper cables &gt; 10 to &lt;= 15 km</t>
  </si>
  <si>
    <t>Transport DC feeder cables</t>
  </si>
  <si>
    <t>drum-km</t>
  </si>
  <si>
    <t>Haul and unload cable drums &gt; 10 to &lt;= 15 km</t>
  </si>
  <si>
    <t>Transport AC cables</t>
  </si>
  <si>
    <t>Transport fibre/control cables</t>
  </si>
  <si>
    <t>Cost to remove cables - rate</t>
  </si>
  <si>
    <t>km               total</t>
  </si>
  <si>
    <t>Powerlines</t>
  </si>
  <si>
    <t>Remove powerlines</t>
  </si>
  <si>
    <t>Cost to remove powerlines - rate</t>
  </si>
  <si>
    <t>Meteorological masts</t>
  </si>
  <si>
    <t>Remove met masts</t>
  </si>
  <si>
    <t>masts</t>
  </si>
  <si>
    <t>mast</t>
  </si>
  <si>
    <t>Cost to remove met masts - rate</t>
  </si>
  <si>
    <t>mast            total</t>
  </si>
  <si>
    <t>Substations</t>
  </si>
  <si>
    <t>Remove substation 1</t>
  </si>
  <si>
    <t>substations</t>
  </si>
  <si>
    <t>Small substation of footprint 1000m2</t>
  </si>
  <si>
    <t>substation</t>
  </si>
  <si>
    <t>Remove substation 2</t>
  </si>
  <si>
    <t>Medium substation of footprint 2500m2</t>
  </si>
  <si>
    <t>Remove substation 3</t>
  </si>
  <si>
    <t>Large substation of footprint 5000m2</t>
  </si>
  <si>
    <t>Remove substation 4</t>
  </si>
  <si>
    <t>Remove substation 5</t>
  </si>
  <si>
    <t>Cost to remove substation - rate</t>
  </si>
  <si>
    <t>substation   total</t>
  </si>
  <si>
    <t>Inverters and power conditioners</t>
  </si>
  <si>
    <t>Disconnect and remove inverters</t>
  </si>
  <si>
    <t>unit</t>
  </si>
  <si>
    <t>Disconnect and remove power conditioners</t>
  </si>
  <si>
    <t>units</t>
  </si>
  <si>
    <t>Cost to remove inverters and power conditioners - rate</t>
  </si>
  <si>
    <t>unit              total</t>
  </si>
  <si>
    <t>Solar panels - removal and transport</t>
  </si>
  <si>
    <t>panel</t>
  </si>
  <si>
    <t>Transport panels</t>
  </si>
  <si>
    <t>panel-km</t>
  </si>
  <si>
    <t>Cost to remove, load and transport panels - rate</t>
  </si>
  <si>
    <t>panel           total</t>
  </si>
  <si>
    <t>Tracks and roads</t>
  </si>
  <si>
    <t>Remove tracks, roads 1</t>
  </si>
  <si>
    <t>Earthern Track / Road - single width</t>
  </si>
  <si>
    <t>Pasture</t>
  </si>
  <si>
    <t>Remove tracks, roads 2</t>
  </si>
  <si>
    <t>Native</t>
  </si>
  <si>
    <t>Remove tracks, roads 3</t>
  </si>
  <si>
    <t>Bitumen Track / Road - single width</t>
  </si>
  <si>
    <t>Remove tracks, roads 4</t>
  </si>
  <si>
    <t>Earthern Track / Road - double width</t>
  </si>
  <si>
    <t>Remove tracks, roads 5</t>
  </si>
  <si>
    <t>Remove tracks, roads 6</t>
  </si>
  <si>
    <t>Remove tracks, roads 7</t>
  </si>
  <si>
    <t>Gravel / Rock Track / Road - single width</t>
  </si>
  <si>
    <t>Arid</t>
  </si>
  <si>
    <t>Remove tracks, roads 8</t>
  </si>
  <si>
    <t>Remove tracks, roads 9</t>
  </si>
  <si>
    <t>Remove tracks, roads 10</t>
  </si>
  <si>
    <t>Gravel Rock Track / Road - double width</t>
  </si>
  <si>
    <t>Remove tracks, roads 11</t>
  </si>
  <si>
    <t>Remove tracks, roads 12</t>
  </si>
  <si>
    <t>Remove tracks, roads 13</t>
  </si>
  <si>
    <t>Remove tracks, roads 14</t>
  </si>
  <si>
    <t>Remove tracks, roads 15</t>
  </si>
  <si>
    <t>Remove tracks, roads 16</t>
  </si>
  <si>
    <t>Bitumen Track / Road - double width</t>
  </si>
  <si>
    <t>Remove tracks, roads 17</t>
  </si>
  <si>
    <t>Remove tracks, roads 18</t>
  </si>
  <si>
    <t>Cost to remove tracks and roads - rate</t>
  </si>
  <si>
    <t>ha                total</t>
  </si>
  <si>
    <t>Laydown</t>
  </si>
  <si>
    <t>Laydown area 1</t>
  </si>
  <si>
    <t>Laydown / Park-up Earthen</t>
  </si>
  <si>
    <t>Laydown area 2</t>
  </si>
  <si>
    <t>Laydown / Park-up Gravel / Rock</t>
  </si>
  <si>
    <t>Laydown area 3</t>
  </si>
  <si>
    <t>Laydown / Park-up Bitumen</t>
  </si>
  <si>
    <t>Laydown area 4</t>
  </si>
  <si>
    <t>Laydown area 5</t>
  </si>
  <si>
    <t>Laydown area 6</t>
  </si>
  <si>
    <t>Laydown area 7</t>
  </si>
  <si>
    <t>Laydown area 8</t>
  </si>
  <si>
    <t>Laydown area 9</t>
  </si>
  <si>
    <t>Cost to remove laydown - rate</t>
  </si>
  <si>
    <t>Airstrips</t>
  </si>
  <si>
    <t>Airstrip 1</t>
  </si>
  <si>
    <t>Airstrip with gravel / rock cover</t>
  </si>
  <si>
    <t>Airstrip 2</t>
  </si>
  <si>
    <t>Airstrip with no cover</t>
  </si>
  <si>
    <t>Cost to remove airstrips - rate</t>
  </si>
  <si>
    <t>Buildings by area</t>
  </si>
  <si>
    <t>Building 1</t>
  </si>
  <si>
    <t>Small, Brick Wall material, Steel Roof material, Concrete Floor material</t>
  </si>
  <si>
    <t>Building 2</t>
  </si>
  <si>
    <t>Large, Brick Wall material, Steel Roof material, Concrete Floor material</t>
  </si>
  <si>
    <t>Building 3</t>
  </si>
  <si>
    <t>Large, Steel Wall material, Steel Roof material, Concrete Floor material</t>
  </si>
  <si>
    <t>Building 4</t>
  </si>
  <si>
    <t>Small, Steel Wall material, Steel Roof material, Concrete Floor material</t>
  </si>
  <si>
    <t>Building 5</t>
  </si>
  <si>
    <t>m2</t>
  </si>
  <si>
    <t>Cost to remove buildings - rate</t>
  </si>
  <si>
    <t>m2               total</t>
  </si>
  <si>
    <t>Buildings by number</t>
  </si>
  <si>
    <t>Remove building 1</t>
  </si>
  <si>
    <t>Amenities room, None Wall material, None Roof material, None Floor material</t>
  </si>
  <si>
    <t>Remove building 2</t>
  </si>
  <si>
    <t>Portable, None Wall material, None Roof material, None Floor material</t>
  </si>
  <si>
    <t>Remove building 3</t>
  </si>
  <si>
    <t>Switchroom, None Wall material, None Roof material, Concrete Floor material</t>
  </si>
  <si>
    <t>Remove building 4</t>
  </si>
  <si>
    <t>Control Room, None Wall material, None Roof material, None Floor material</t>
  </si>
  <si>
    <t>Remove building 5</t>
  </si>
  <si>
    <t>buildings</t>
  </si>
  <si>
    <t>building       total</t>
  </si>
  <si>
    <t>Land rehabilitation - growth media</t>
  </si>
  <si>
    <t>Land area 1</t>
  </si>
  <si>
    <t>Land area 2</t>
  </si>
  <si>
    <t>Land area 3</t>
  </si>
  <si>
    <t>Land area 4</t>
  </si>
  <si>
    <t>Land area 5</t>
  </si>
  <si>
    <t>Total land area</t>
  </si>
  <si>
    <t xml:space="preserve">Proportion to rehabilitate </t>
  </si>
  <si>
    <t>Thickness (default)</t>
  </si>
  <si>
    <t>m</t>
  </si>
  <si>
    <t>Thickness (user)</t>
  </si>
  <si>
    <t>Enter to over-ride default</t>
  </si>
  <si>
    <t>Volume</t>
  </si>
  <si>
    <t>m3</t>
  </si>
  <si>
    <t>Proportion sourced locally</t>
  </si>
  <si>
    <t>Load, haul from local site, dump and spread</t>
  </si>
  <si>
    <t>Purchased if not local</t>
  </si>
  <si>
    <t>Transport from off-site if not local</t>
  </si>
  <si>
    <t>Load, Haul, Dump soil / ameliorants from off-site &gt; 10 to &lt;= 15 km</t>
  </si>
  <si>
    <t>Cost of growth media - rate</t>
  </si>
  <si>
    <t>Land rehabilitation - ameliorants</t>
  </si>
  <si>
    <t>Proportion requiring ameliorants</t>
  </si>
  <si>
    <t>Area of site requiring ameliorants</t>
  </si>
  <si>
    <t>t/ha</t>
  </si>
  <si>
    <t>Purchase ameliorants</t>
  </si>
  <si>
    <t>t</t>
  </si>
  <si>
    <t>Lime</t>
  </si>
  <si>
    <t>Load and haul ameliorants</t>
  </si>
  <si>
    <t>Load, Haul, Dump soil / ameliorants from off-site &gt; 20 to &lt;= 25 km</t>
  </si>
  <si>
    <t>Apply ameliorants</t>
  </si>
  <si>
    <t>Cost of ameliorants - rate</t>
  </si>
  <si>
    <t>ha               total</t>
  </si>
  <si>
    <t>Land rehabilitation - revegetation</t>
  </si>
  <si>
    <t>Proportion requiring revegetation</t>
  </si>
  <si>
    <t>Area of site requiring revegetation</t>
  </si>
  <si>
    <t>Dozer applied Pasture seed</t>
  </si>
  <si>
    <t>Cost of revegetation - rate</t>
  </si>
  <si>
    <t>Solar panel disposal</t>
  </si>
  <si>
    <t>Distance (average)</t>
  </si>
  <si>
    <t>Load and haul waste</t>
  </si>
  <si>
    <t>Haul and unload solar panels &gt; 35 to &lt;= 40 km</t>
  </si>
  <si>
    <t>Disposal gate fee</t>
  </si>
  <si>
    <t>Disposal (gate fee) - solar panel</t>
  </si>
  <si>
    <t>Waste levy</t>
  </si>
  <si>
    <t>Waste levy (Non-Metropolitan Solid Waste)</t>
  </si>
  <si>
    <t>Cost of solar panel disposal - rate</t>
  </si>
  <si>
    <t>Solar panel recycling (cost - not scrap)</t>
  </si>
  <si>
    <t>Haul and unload solar panels &gt; 60 to &lt;= 70 km</t>
  </si>
  <si>
    <t>Recycling (gate fee) - solar panel</t>
  </si>
  <si>
    <t>Cost of solar panel recycling - rate</t>
  </si>
  <si>
    <t>Concrete crushing</t>
  </si>
  <si>
    <t>Foundations</t>
  </si>
  <si>
    <t>Car parking</t>
  </si>
  <si>
    <t>Total area</t>
  </si>
  <si>
    <t>Enter thickness to inputs to right if wish to override the default thickness.</t>
  </si>
  <si>
    <t>User entered volume override</t>
  </si>
  <si>
    <t>Enter volume on inputs to right if wish to override the calculated volume.</t>
  </si>
  <si>
    <t>Quantity</t>
  </si>
  <si>
    <t xml:space="preserve">Concrete crush to 75mm </t>
  </si>
  <si>
    <t>Cost of concrete crushing - rate</t>
  </si>
  <si>
    <t>m3               total</t>
  </si>
  <si>
    <t>Disposal of construction debris including concrete not part of items above</t>
  </si>
  <si>
    <t>Quantity of waste construction debris</t>
  </si>
  <si>
    <t>Load, Haul, Dump Concrete Rubble from off-site &gt; 15 to &lt;= 20 km</t>
  </si>
  <si>
    <t>Disposal (gate fee) Construction Debris</t>
  </si>
  <si>
    <t>Cost of construction debris disposal by mass - rate</t>
  </si>
  <si>
    <t>t                   total</t>
  </si>
  <si>
    <t>Disposal of steel not part of items above</t>
  </si>
  <si>
    <t>Quantity of waste steel</t>
  </si>
  <si>
    <t>Load, Haul, Dump Scrap Steel from off-site &gt; 20 to &lt;= 25 km</t>
  </si>
  <si>
    <t>Disposal (gate fee) steel</t>
  </si>
  <si>
    <t>Cost of steel disposal by mass - rate</t>
  </si>
  <si>
    <t>Disposal of soil (by mass)</t>
  </si>
  <si>
    <t>Quantity of waste soil</t>
  </si>
  <si>
    <t>Disposal (gate fee) Low level solid waste</t>
  </si>
  <si>
    <t>Cost of soil disposal by mass - rate</t>
  </si>
  <si>
    <t>Mobilisation</t>
  </si>
  <si>
    <t>Fleet 1</t>
  </si>
  <si>
    <t>fleet</t>
  </si>
  <si>
    <t>Solar fleet &lt;= 150 km</t>
  </si>
  <si>
    <t>Fleet 2</t>
  </si>
  <si>
    <t>Electrical fleet &lt;= 150 km</t>
  </si>
  <si>
    <t>Fleet 3</t>
  </si>
  <si>
    <t>Land fleet &lt;= 150 km</t>
  </si>
  <si>
    <t>fleets</t>
  </si>
  <si>
    <t>Cost of mobilisation - rate</t>
  </si>
  <si>
    <t>Reporting and documentation</t>
  </si>
  <si>
    <t>item</t>
  </si>
  <si>
    <t>Engineering</t>
  </si>
  <si>
    <t>Miscellaneous planning</t>
  </si>
  <si>
    <t>items</t>
  </si>
  <si>
    <t>Cost of reporting and documentation - rate</t>
  </si>
  <si>
    <t>User entered additional items</t>
  </si>
  <si>
    <t>Add Description, quantity (value), unit, and rate</t>
  </si>
  <si>
    <t>Cost of additional items</t>
  </si>
  <si>
    <t xml:space="preserve">                   total</t>
  </si>
  <si>
    <t>Project costs</t>
  </si>
  <si>
    <t>Default</t>
  </si>
  <si>
    <t>User</t>
  </si>
  <si>
    <t>Cost Basis</t>
  </si>
  <si>
    <t>Project management</t>
  </si>
  <si>
    <t>Enter value if wish to override default</t>
  </si>
  <si>
    <t>Ongoing monitoring</t>
  </si>
  <si>
    <t>Contingency</t>
  </si>
  <si>
    <t>Mass (%)</t>
  </si>
  <si>
    <t>Select / Notes</t>
  </si>
  <si>
    <t>Model</t>
  </si>
  <si>
    <t>kg</t>
  </si>
  <si>
    <t>Total benefit from recycling panels</t>
  </si>
  <si>
    <t>Frames</t>
  </si>
  <si>
    <t>Mass (t/panel)</t>
  </si>
  <si>
    <t>Mass (total)</t>
  </si>
  <si>
    <t>Mass</t>
  </si>
  <si>
    <t>Total benefit from frames</t>
  </si>
  <si>
    <t>Cables</t>
  </si>
  <si>
    <t>Total benefit from cables</t>
  </si>
  <si>
    <t>Turbine model</t>
  </si>
  <si>
    <t>Quantity of turbines</t>
  </si>
  <si>
    <t>turbines</t>
  </si>
  <si>
    <t>Disconnect and remove MV AC collection system</t>
  </si>
  <si>
    <t>MV AC Cables - 3 core 95mm2</t>
  </si>
  <si>
    <t>Disconnect and remove LV cables</t>
  </si>
  <si>
    <t>LV Cables - single core 16mm2</t>
  </si>
  <si>
    <t>Transport MV AC collection system</t>
  </si>
  <si>
    <t>Transport LV cables</t>
  </si>
  <si>
    <t>km              total</t>
  </si>
  <si>
    <t>Remove substation 6</t>
  </si>
  <si>
    <t>Cost to remove substations - rate</t>
  </si>
  <si>
    <t>Converters and power conditioners</t>
  </si>
  <si>
    <t>Disconnect and remove converters</t>
  </si>
  <si>
    <t>Cost to remove converters and power conditioners - rate</t>
  </si>
  <si>
    <t>unit             total</t>
  </si>
  <si>
    <t>Wind turbines - gearbox oil</t>
  </si>
  <si>
    <t>Volume of oil per turbine</t>
  </si>
  <si>
    <t>Volume of oil all turbines, removal</t>
  </si>
  <si>
    <t>kL</t>
  </si>
  <si>
    <t>L-km</t>
  </si>
  <si>
    <t>Load, Haul, Dump Oil from off-site &gt; 10 to &lt;= 15 km</t>
  </si>
  <si>
    <t>kL-km</t>
  </si>
  <si>
    <t>Disposal (gate fee) oil</t>
  </si>
  <si>
    <t>Cost of oil disposal by volume - rate</t>
  </si>
  <si>
    <t>kL               total</t>
  </si>
  <si>
    <t>Cost of oil disposal by turbine - rate</t>
  </si>
  <si>
    <t>turbine</t>
  </si>
  <si>
    <t>Wind turbines - rotor (blades and hub)</t>
  </si>
  <si>
    <t>Rotors</t>
  </si>
  <si>
    <t>rotors</t>
  </si>
  <si>
    <t>Remove rotors</t>
  </si>
  <si>
    <t>Large turbine</t>
  </si>
  <si>
    <t>rotor</t>
  </si>
  <si>
    <t>Remove blades from hub</t>
  </si>
  <si>
    <t>set of 3 blades</t>
  </si>
  <si>
    <t>Blade mass per turbine (all three blades)</t>
  </si>
  <si>
    <t>Blade mass all turbines</t>
  </si>
  <si>
    <t>Haul and unload blades and hub &gt; 45 to &lt;= 50 km</t>
  </si>
  <si>
    <t>Load and haul turbines</t>
  </si>
  <si>
    <t>rotor-km</t>
  </si>
  <si>
    <t>Disposal (gate fee) - wind turbine blade</t>
  </si>
  <si>
    <t>blade</t>
  </si>
  <si>
    <t>Cost of rotor removal and disposal - rate</t>
  </si>
  <si>
    <t>turbine        total</t>
  </si>
  <si>
    <t>Wind turbines - nacelle</t>
  </si>
  <si>
    <t>Nacelles</t>
  </si>
  <si>
    <t>nacelles</t>
  </si>
  <si>
    <t>Remove nacelles</t>
  </si>
  <si>
    <t>nacelle</t>
  </si>
  <si>
    <t>Nacelle mass</t>
  </si>
  <si>
    <t>Nacelle mass all turbines</t>
  </si>
  <si>
    <t>nacelle-km</t>
  </si>
  <si>
    <t>Haul and unload nacelles &gt; 25 to &lt;= 30 km</t>
  </si>
  <si>
    <t>Cost of nacelle removal and disposal - rate</t>
  </si>
  <si>
    <t>Wind turbines - tower</t>
  </si>
  <si>
    <t>Tower height</t>
  </si>
  <si>
    <t>tower</t>
  </si>
  <si>
    <t>Sections</t>
  </si>
  <si>
    <t>sections</t>
  </si>
  <si>
    <t>Total sections</t>
  </si>
  <si>
    <t>Tower mass</t>
  </si>
  <si>
    <t>Tower mass all turbines</t>
  </si>
  <si>
    <t>tower-km</t>
  </si>
  <si>
    <t>Haul and unload towers &gt; 30 to &lt;= 35 km</t>
  </si>
  <si>
    <t>Cost of tower removal and disposal - rate</t>
  </si>
  <si>
    <t>Wind turbines - foundations</t>
  </si>
  <si>
    <t>Area of concrete foundation</t>
  </si>
  <si>
    <t>Thickness of concrete foundation</t>
  </si>
  <si>
    <t>Thickness to demolish</t>
  </si>
  <si>
    <t>Mass of concrete all turbines, demolition</t>
  </si>
  <si>
    <t>Load, Haul, Dump Concrete Rubble from off-site &gt; 40 to &lt;= 45 km</t>
  </si>
  <si>
    <t>Cost of foundation demolition and disposal - rate</t>
  </si>
  <si>
    <t>t                  total</t>
  </si>
  <si>
    <t>If infrastructure is to be retained by landowner, either set quantities to zero or show quantities and set User Rate to zero. Users are encouraged to explain below.</t>
  </si>
  <si>
    <t>Laydown area 10</t>
  </si>
  <si>
    <t>m2              total</t>
  </si>
  <si>
    <t>Load, Haul, Dump Soil / Growth Media around Site (small fleet) &gt; 6000 m</t>
  </si>
  <si>
    <t>Gypsum</t>
  </si>
  <si>
    <t>Apply/spread ameliorants</t>
  </si>
  <si>
    <t>Cost of soil ameliorants - rate</t>
  </si>
  <si>
    <t>Area</t>
  </si>
  <si>
    <t>Load, Haul, Dump Concrete Rubble from off-site &gt; 10 to &lt;= 15 km</t>
  </si>
  <si>
    <t>t                 total</t>
  </si>
  <si>
    <t>Disposal of contaminated soil (by mass)</t>
  </si>
  <si>
    <t>Wind fleet &lt;= 150 km</t>
  </si>
  <si>
    <t>fleet             total</t>
  </si>
  <si>
    <t xml:space="preserve">                  total</t>
  </si>
  <si>
    <t>Wind Turbines - Recycling</t>
  </si>
  <si>
    <t>Steel and Iron</t>
  </si>
  <si>
    <t>Copper and Alloys</t>
  </si>
  <si>
    <t>Aluminium and Alloys</t>
  </si>
  <si>
    <t>Electronics/Electrics</t>
  </si>
  <si>
    <t>Lubricants and Fluids</t>
  </si>
  <si>
    <t>Glass/Carbon Composites</t>
  </si>
  <si>
    <t>Polymer Materials</t>
  </si>
  <si>
    <t>Nacelle</t>
  </si>
  <si>
    <t>Tower</t>
  </si>
  <si>
    <t xml:space="preserve"> </t>
  </si>
  <si>
    <t>MWh</t>
  </si>
  <si>
    <t>Tesla Megapack 2</t>
  </si>
  <si>
    <t>Tesla Megapack 2XL</t>
  </si>
  <si>
    <t>Select make and model</t>
  </si>
  <si>
    <t>Number of units</t>
  </si>
  <si>
    <t>modules</t>
  </si>
  <si>
    <t>site             total</t>
  </si>
  <si>
    <t>Inverters and transformers</t>
  </si>
  <si>
    <t>Disconnect and remove transformers</t>
  </si>
  <si>
    <t>Cost to remove inverters and transformers - rate</t>
  </si>
  <si>
    <t>BESS - removal and transport</t>
  </si>
  <si>
    <t>Disconnect and remove modules</t>
  </si>
  <si>
    <t>module</t>
  </si>
  <si>
    <t>Load and transport modules</t>
  </si>
  <si>
    <t>module-km</t>
  </si>
  <si>
    <t>Load, Haul, Dump Modules from off-site &gt; 10 to &lt;= 15 km</t>
  </si>
  <si>
    <t>Cut-up, remove, load and transport steel and electrical</t>
  </si>
  <si>
    <t>Remove, load and transport incidental waste</t>
  </si>
  <si>
    <t>Cost to remove, load and transport modules - rate</t>
  </si>
  <si>
    <t>module        total</t>
  </si>
  <si>
    <t>BESS disposal</t>
  </si>
  <si>
    <t>Quantity of modules</t>
  </si>
  <si>
    <t>Load, Haul, Dump Modules from off-site &gt; 5 to &lt;= 10 km</t>
  </si>
  <si>
    <t>Cost of BESS disposal - rate</t>
  </si>
  <si>
    <t>Recycling (gate fee) - batteries</t>
  </si>
  <si>
    <t>Cost of BESS recycling - rate</t>
  </si>
  <si>
    <t xml:space="preserve">Concrete crush to 50mm </t>
  </si>
  <si>
    <t>Electrical fleet &gt;150 &lt;= 500 km</t>
  </si>
  <si>
    <t>Land fleet &gt;150 &lt;= 500 km</t>
  </si>
  <si>
    <t>item             total</t>
  </si>
  <si>
    <t>BESS module</t>
  </si>
  <si>
    <t>Cost Schedule</t>
  </si>
  <si>
    <t>Scope</t>
  </si>
  <si>
    <t>Ameliorants</t>
  </si>
  <si>
    <t>$/unit</t>
  </si>
  <si>
    <t>Buildings by Area</t>
  </si>
  <si>
    <t>Buildings by Number</t>
  </si>
  <si>
    <t>Concrete Crushing</t>
  </si>
  <si>
    <t>Electrical Cabling</t>
  </si>
  <si>
    <t>Re-vegetation</t>
  </si>
  <si>
    <t>Hydroseeding - pasture seed</t>
  </si>
  <si>
    <t>Hydroseeding - native seed</t>
  </si>
  <si>
    <t>Hydromulch - BFM - pasture seed</t>
  </si>
  <si>
    <t>Hydromulch - BFM - native seed</t>
  </si>
  <si>
    <t>Hydromulch - FRM - pasture seed</t>
  </si>
  <si>
    <t>Hydromulch - FRM - native seed</t>
  </si>
  <si>
    <t>Hydromulch - BGM - pasture seed</t>
  </si>
  <si>
    <t>Hydromulch - BGM - native seed</t>
  </si>
  <si>
    <t>Roads, Tracks</t>
  </si>
  <si>
    <t>Load, Long Haul, Dump Growth Media/Ameliorants</t>
  </si>
  <si>
    <t>Load, Long Haul, Dump Concrete Rubble</t>
  </si>
  <si>
    <t>Load, Long Haul, Dump Scrap Steel</t>
  </si>
  <si>
    <t>Load, Long Haul, Dump Oil</t>
  </si>
  <si>
    <t>Oil</t>
  </si>
  <si>
    <t>Load, Long Haul, Dump Modules</t>
  </si>
  <si>
    <t>Meteorological Masts</t>
  </si>
  <si>
    <t>Reporting and Documentation</t>
  </si>
  <si>
    <t>Solar Panels</t>
  </si>
  <si>
    <t>Included in load and haul rate</t>
  </si>
  <si>
    <t>Wind Turbines</t>
  </si>
  <si>
    <t>Inflation -yrs escalate</t>
  </si>
  <si>
    <t>Inflation - rate</t>
  </si>
  <si>
    <t>Inflation - multiplier</t>
  </si>
  <si>
    <t>User Rate</t>
  </si>
  <si>
    <t>Rate Used</t>
  </si>
  <si>
    <t>Hide&gt;</t>
  </si>
  <si>
    <t>Range</t>
  </si>
  <si>
    <t>Range % Max on Min</t>
  </si>
  <si>
    <t>Minimum</t>
  </si>
  <si>
    <t>Average</t>
  </si>
  <si>
    <t>Maximum</t>
  </si>
  <si>
    <t>Value Selected</t>
  </si>
  <si>
    <t>Date of Rate Selection</t>
  </si>
  <si>
    <t>Source 1</t>
  </si>
  <si>
    <t>Source 2</t>
  </si>
  <si>
    <t>Source 3</t>
  </si>
  <si>
    <t>Source 4</t>
  </si>
  <si>
    <t>Source 5</t>
  </si>
  <si>
    <t>Source 6</t>
  </si>
  <si>
    <t>Source 7</t>
  </si>
  <si>
    <t>Source 8</t>
  </si>
  <si>
    <t>Source 9</t>
  </si>
  <si>
    <t>Source 10</t>
  </si>
  <si>
    <t>Source 11</t>
  </si>
  <si>
    <t>Source 12</t>
  </si>
  <si>
    <t>Source 13</t>
  </si>
  <si>
    <t>Source 14</t>
  </si>
  <si>
    <t>Source 15</t>
  </si>
  <si>
    <t>Source 16</t>
  </si>
  <si>
    <t>No source / allowance</t>
  </si>
  <si>
    <t>Backhoe</t>
  </si>
  <si>
    <t>Backhoe 420F 4WD</t>
  </si>
  <si>
    <t>hour</t>
  </si>
  <si>
    <t>w/fuel and operator</t>
  </si>
  <si>
    <t>Backhoe attachments</t>
  </si>
  <si>
    <t>Compactors</t>
  </si>
  <si>
    <t xml:space="preserve">Compactor CP633E Sheepsfoot           </t>
  </si>
  <si>
    <t>Concrete crushing plant</t>
  </si>
  <si>
    <t xml:space="preserve">Consultant Labour </t>
  </si>
  <si>
    <t>Junior Engineer/Geologist/Scientist</t>
  </si>
  <si>
    <t>EHS Support indicative rate for projects of this nature</t>
  </si>
  <si>
    <t>Associate Engineer/Geologist/Scientist</t>
  </si>
  <si>
    <t>Principal Engineer/Geologist/Scientist</t>
  </si>
  <si>
    <t>Senior Principal Engineer/Geologist/Scientist</t>
  </si>
  <si>
    <t>Project Manager</t>
  </si>
  <si>
    <t>Senior Project Manager</t>
  </si>
  <si>
    <t>Auditor/Director</t>
  </si>
  <si>
    <t>Draftsman/Technician</t>
  </si>
  <si>
    <t>Admin labour</t>
  </si>
  <si>
    <t>Health and Safety Lead</t>
  </si>
  <si>
    <t>Cranes and Platforms</t>
  </si>
  <si>
    <t>Crane 20t</t>
  </si>
  <si>
    <t>w/fuel and operator + rigger</t>
  </si>
  <si>
    <t>Crane 50t</t>
  </si>
  <si>
    <t>Crane 120t</t>
  </si>
  <si>
    <t>Crane 500t</t>
  </si>
  <si>
    <t>Crane 1000t</t>
  </si>
  <si>
    <t>Elevated Work Platform 40m</t>
  </si>
  <si>
    <t>Dozers</t>
  </si>
  <si>
    <t>Dozer D8R</t>
  </si>
  <si>
    <t>Excavators</t>
  </si>
  <si>
    <t>Excavator 20t</t>
  </si>
  <si>
    <t>Excavator 40t</t>
  </si>
  <si>
    <t>Excavator 74t</t>
  </si>
  <si>
    <t>Excavator PC 1900</t>
  </si>
  <si>
    <t>Excavator Attachments</t>
  </si>
  <si>
    <t>Excavator 20t hammer</t>
  </si>
  <si>
    <t>Excavator 40t hammer</t>
  </si>
  <si>
    <t>Excavator 74t hammer</t>
  </si>
  <si>
    <t>Excavator 20t shears</t>
  </si>
  <si>
    <t>Excavator 40t shears</t>
  </si>
  <si>
    <t>Excavator 74t shears</t>
  </si>
  <si>
    <t>Excavator 20t grapple</t>
  </si>
  <si>
    <t>Excavator 40t grapple</t>
  </si>
  <si>
    <t>Excavator 74t grapple</t>
  </si>
  <si>
    <t>Graders</t>
  </si>
  <si>
    <t>Grader 12M</t>
  </si>
  <si>
    <t>Grader 14M</t>
  </si>
  <si>
    <t>Land Rehabilitation - Fertiliser</t>
  </si>
  <si>
    <t>Fertiliser - pasture</t>
  </si>
  <si>
    <t>tonne</t>
  </si>
  <si>
    <t xml:space="preserve"> + delivery</t>
  </si>
  <si>
    <t>Fertiliser - native</t>
  </si>
  <si>
    <t>Land Rehabilitation - Growth Media</t>
  </si>
  <si>
    <t>Top soil</t>
  </si>
  <si>
    <t>Land Rehabilitation - Hydro-applications</t>
  </si>
  <si>
    <t>kilogram</t>
  </si>
  <si>
    <t>Land Rehabilitation - Plants and Seed</t>
  </si>
  <si>
    <t>Native seed</t>
  </si>
  <si>
    <t>Pasture seed</t>
  </si>
  <si>
    <t>Tube stock</t>
  </si>
  <si>
    <t>Trees - mature</t>
  </si>
  <si>
    <t>Land Rehabilitation - Soil Ameliorants</t>
  </si>
  <si>
    <t>Land Rehabilitation - Water</t>
  </si>
  <si>
    <t>Water</t>
  </si>
  <si>
    <t>kilolitre</t>
  </si>
  <si>
    <t>Loaders</t>
  </si>
  <si>
    <t>Panhandler</t>
  </si>
  <si>
    <t>Loader 980M</t>
  </si>
  <si>
    <t>Scrap aluminium and alloy</t>
  </si>
  <si>
    <t>Scrap copper and alloy</t>
  </si>
  <si>
    <t>Scrap glass</t>
  </si>
  <si>
    <t>Scrap silver</t>
  </si>
  <si>
    <t xml:space="preserve">Scrap stainless steel </t>
  </si>
  <si>
    <t>Scrap steel</t>
  </si>
  <si>
    <t>Concrete recycle</t>
  </si>
  <si>
    <t>Oil recycle</t>
  </si>
  <si>
    <t>Small Equipment</t>
  </si>
  <si>
    <t>Gas Axe</t>
  </si>
  <si>
    <t>day</t>
  </si>
  <si>
    <t>Wind turbine tools</t>
  </si>
  <si>
    <t>Trade Labour</t>
  </si>
  <si>
    <t>Rigger</t>
  </si>
  <si>
    <t>Electrician</t>
  </si>
  <si>
    <t>Foreperson</t>
  </si>
  <si>
    <t>Labour (General)</t>
  </si>
  <si>
    <t>Mechanical Fitter</t>
  </si>
  <si>
    <t>HDPE Welder</t>
  </si>
  <si>
    <t>Demolition crew</t>
  </si>
  <si>
    <t>Dogman/Rigger</t>
  </si>
  <si>
    <t>Trucks</t>
  </si>
  <si>
    <t>Truck Flatbed</t>
  </si>
  <si>
    <t>Truck Semi-tipper</t>
  </si>
  <si>
    <t>Truck with crane</t>
  </si>
  <si>
    <t>Truck Vacuum Tanker</t>
  </si>
  <si>
    <t>Truck Water Tanker 19kL</t>
  </si>
  <si>
    <t>Pump Truck/Tanker</t>
  </si>
  <si>
    <t>Truck module transport</t>
  </si>
  <si>
    <t>Wind turbine blade transport truck</t>
  </si>
  <si>
    <t>w/support vehicles</t>
  </si>
  <si>
    <t>Vehicles and Equipment</t>
  </si>
  <si>
    <t>Vehicle Hire</t>
  </si>
  <si>
    <t>Winch for cables</t>
  </si>
  <si>
    <t>Waste Disposal Gate Fees and Levies - items by mass</t>
  </si>
  <si>
    <t>Disposal (gate fee) construction debris</t>
  </si>
  <si>
    <t>Scrap metal accepted for free</t>
  </si>
  <si>
    <t>Disposal (gate fee) asbestos in soil</t>
  </si>
  <si>
    <t>Recycling (gate fee) - wind turbine blade</t>
  </si>
  <si>
    <t>Waste Disposal Gate Fees and Levies - items by volume</t>
  </si>
  <si>
    <t>Disposal (gate fee) oily water</t>
  </si>
  <si>
    <t>Pump 4 inch dewater with hoses</t>
  </si>
  <si>
    <t>Concrete crushing rate to 75 mm</t>
  </si>
  <si>
    <t>t/h</t>
  </si>
  <si>
    <t>Concrete crushing rate to 50 mm</t>
  </si>
  <si>
    <t>Concrete crushing rate to 30 mm</t>
  </si>
  <si>
    <t>Dozer Grade (LCM/h) vs. Grading Distance</t>
  </si>
  <si>
    <t>Number of dozers</t>
  </si>
  <si>
    <t>Dozing distance (m)</t>
  </si>
  <si>
    <t>Dozer D6R</t>
  </si>
  <si>
    <t>Too small</t>
  </si>
  <si>
    <t>Dozer D7R</t>
  </si>
  <si>
    <t>Dozer D9R</t>
  </si>
  <si>
    <t>Dozer D10T</t>
  </si>
  <si>
    <t>Dozer D11T</t>
  </si>
  <si>
    <t>Dozer Type</t>
  </si>
  <si>
    <t>Dozer Rip Productivity</t>
  </si>
  <si>
    <t>Speed</t>
  </si>
  <si>
    <t>km/h</t>
  </si>
  <si>
    <t>Run width</t>
  </si>
  <si>
    <t>Run Length</t>
  </si>
  <si>
    <t>Run area</t>
  </si>
  <si>
    <t>Rip depth (multi shank)</t>
  </si>
  <si>
    <t>Rip volume</t>
  </si>
  <si>
    <t xml:space="preserve">Number of runs required </t>
  </si>
  <si>
    <t>#/ha</t>
  </si>
  <si>
    <t>Time</t>
  </si>
  <si>
    <t>h/ha</t>
  </si>
  <si>
    <t>Electrical Cable</t>
  </si>
  <si>
    <t>Solar farm DC stringer cable</t>
  </si>
  <si>
    <t xml:space="preserve">person crew at </t>
  </si>
  <si>
    <t>m/h each. All above ground</t>
  </si>
  <si>
    <t>Solar farm DC feeder cable - above ground</t>
  </si>
  <si>
    <t>1 crew</t>
  </si>
  <si>
    <t>Solar farm DC feeder cable - below ground</t>
  </si>
  <si>
    <t>Solar farm AC cable - above ground</t>
  </si>
  <si>
    <t>Solar farm AC cable - below ground</t>
  </si>
  <si>
    <t>Wind farm fibre/control cable</t>
  </si>
  <si>
    <t>Wind farm MV AC collection system</t>
  </si>
  <si>
    <t>Wind farm LV cable</t>
  </si>
  <si>
    <t xml:space="preserve">Excavator Cut Pipe </t>
  </si>
  <si>
    <t>m/h</t>
  </si>
  <si>
    <t>Excavator Cut Cladding</t>
  </si>
  <si>
    <t>m2/h</t>
  </si>
  <si>
    <t xml:space="preserve">Excavator Cut Steel Plate </t>
  </si>
  <si>
    <t xml:space="preserve">Excavator Cut Aluminium Plate </t>
  </si>
  <si>
    <t>Excavator strip Insulation</t>
  </si>
  <si>
    <t>Steel reinforcing cut rate excavator</t>
  </si>
  <si>
    <t>Steel cable cut rate excavator</t>
  </si>
  <si>
    <t>Excavator concrete break and remove</t>
  </si>
  <si>
    <t>m3/h</t>
  </si>
  <si>
    <t>Cat page 8-12, H160 reinforced concrete 229 to 650 m3 per 8 hour shift</t>
  </si>
  <si>
    <t>Grader Trim Productivity</t>
  </si>
  <si>
    <t>Speed (2nd Gear)</t>
  </si>
  <si>
    <t>Effective blade width (30 degrees)</t>
  </si>
  <si>
    <t>Overlap width</t>
  </si>
  <si>
    <t>Efficiency</t>
  </si>
  <si>
    <t>%</t>
  </si>
  <si>
    <t>Production</t>
  </si>
  <si>
    <t>ha/h</t>
  </si>
  <si>
    <t>Grader Rip Productivity</t>
  </si>
  <si>
    <t>Speed (1st Gear)</t>
  </si>
  <si>
    <t>Number of runs required</t>
  </si>
  <si>
    <t>Hydroseeding/Mulching</t>
  </si>
  <si>
    <t>Hydroseeding</t>
  </si>
  <si>
    <t>ha/day</t>
  </si>
  <si>
    <t>ha/hour</t>
  </si>
  <si>
    <t>Hydromulching BFM</t>
  </si>
  <si>
    <t>Hydromulching FRM</t>
  </si>
  <si>
    <t>Hydromulching BGM</t>
  </si>
  <si>
    <t>Truck haul speed loaded</t>
  </si>
  <si>
    <t>Truck haul speed unloaded</t>
  </si>
  <si>
    <t>Truck travel speed on-site - loaded</t>
  </si>
  <si>
    <t>Truck travel speed on-site - unloaded</t>
  </si>
  <si>
    <t>Semi-tipper maximum volume</t>
  </si>
  <si>
    <t>https://www.freighter.com.au/trailers/lusty-ems-chassis-tipper/</t>
  </si>
  <si>
    <t>Semi-tipper maximum mass</t>
  </si>
  <si>
    <t>Semi-tipper maximum volume - concrete</t>
  </si>
  <si>
    <t>Mass is limiting factor for concrete</t>
  </si>
  <si>
    <t>Solar panels per truck</t>
  </si>
  <si>
    <t>Blades/hubs per truck</t>
  </si>
  <si>
    <t>Nacelles per truck</t>
  </si>
  <si>
    <t>Towers per truck</t>
  </si>
  <si>
    <t>Drums per truck</t>
  </si>
  <si>
    <t>drum</t>
  </si>
  <si>
    <t>Estimate assuming drum diameter 1m, width 0.7m, max weight 350kg (350kg x 7 = max load of truck flatbed 2.4t)</t>
  </si>
  <si>
    <t>Description</t>
  </si>
  <si>
    <t>Earthern airstrip cover thickness</t>
  </si>
  <si>
    <t>Gravel / rock airstrip cover thickness</t>
  </si>
  <si>
    <t>Bitumen airstrip cover thickness</t>
  </si>
  <si>
    <t>Conversion</t>
  </si>
  <si>
    <t>Minutes in hour</t>
  </si>
  <si>
    <t>min/h</t>
  </si>
  <si>
    <t>Kilograms in tonnes</t>
  </si>
  <si>
    <t>kg/t</t>
  </si>
  <si>
    <t>Metres in kilometres</t>
  </si>
  <si>
    <t>m/km</t>
  </si>
  <si>
    <t>Square metres in hectare</t>
  </si>
  <si>
    <t>sq.m/ha</t>
  </si>
  <si>
    <t>Litres in kilolitres</t>
  </si>
  <si>
    <t>L/kL</t>
  </si>
  <si>
    <t>Millimetres in metres</t>
  </si>
  <si>
    <t>mm/m</t>
  </si>
  <si>
    <t>Metres per min in kilometres per hour</t>
  </si>
  <si>
    <t>DC Cables - string - length</t>
  </si>
  <si>
    <t>km/MW</t>
  </si>
  <si>
    <t>Reference value only, user enters actual length or uses this value for default calculation</t>
  </si>
  <si>
    <t>DC Cables - feeder - length</t>
  </si>
  <si>
    <t>AC Cables - length</t>
  </si>
  <si>
    <t>Fibre/Control Cable - length</t>
  </si>
  <si>
    <t>MV AC Cables - length</t>
  </si>
  <si>
    <t>LV Cables - length</t>
  </si>
  <si>
    <t>t/km</t>
  </si>
  <si>
    <t>Assumes all copper</t>
  </si>
  <si>
    <t>DC Cables - string - specific weight - 6mm2</t>
  </si>
  <si>
    <t>DC Cables - feeder - specific weight - single core 35mm2</t>
  </si>
  <si>
    <t>DC Cables - feeder - specific weight - single core 50mm2</t>
  </si>
  <si>
    <t>DC Cables - feeder - specific weight - single core 70mm2</t>
  </si>
  <si>
    <t>DC Cables - feeder - specific weight - 4 core 16mm2</t>
  </si>
  <si>
    <t>DC Cables - feeder - specific weight - 4 core 25mm2</t>
  </si>
  <si>
    <t>DC Cables - feeder - specific weight - 4 core 35mm2</t>
  </si>
  <si>
    <t>Assumes copper conductors with polymer insulation</t>
  </si>
  <si>
    <t>Fibre/Control Cable - 1.5mm2</t>
  </si>
  <si>
    <t>Fibre/Control Cable - 2.5mm2</t>
  </si>
  <si>
    <t>Fibre/Control Cable - 4mm2</t>
  </si>
  <si>
    <t>Fibre/Control Cable - 6mm2</t>
  </si>
  <si>
    <t>MV AC Cables - 3 core 150mm2</t>
  </si>
  <si>
    <t>LV Cables - 3 core 25mm2</t>
  </si>
  <si>
    <t>LV Cables - 3 core 120mm2</t>
  </si>
  <si>
    <t>LV Cables - 3 core 185mm2</t>
  </si>
  <si>
    <t>LV Cables - 3 core 240mm2</t>
  </si>
  <si>
    <t>Land Rehabilitation - thicknesses and application rates</t>
  </si>
  <si>
    <t>kg/ha</t>
  </si>
  <si>
    <t>plants/ha</t>
  </si>
  <si>
    <t>trees/ha</t>
  </si>
  <si>
    <t>Hydromulching contractor (RCE Mining Calculator)</t>
  </si>
  <si>
    <t>Earthern laydown cover thickness</t>
  </si>
  <si>
    <t>Gravel / rock laydown cover thickness</t>
  </si>
  <si>
    <t>Bitumen laydown cover thickness</t>
  </si>
  <si>
    <t>Liquid Treatment and Pumping</t>
  </si>
  <si>
    <t>Tanker capacity</t>
  </si>
  <si>
    <t>RCE Mining Calculator NSW</t>
  </si>
  <si>
    <t>Truck capacity (water load)</t>
  </si>
  <si>
    <t>Tanker liquids pump flowrate - oil</t>
  </si>
  <si>
    <t>Tanker liquids pump flowrate - water</t>
  </si>
  <si>
    <t>kL/h</t>
  </si>
  <si>
    <t>Material Properties</t>
  </si>
  <si>
    <t>Concrete density</t>
  </si>
  <si>
    <r>
      <t>t/m</t>
    </r>
    <r>
      <rPr>
        <vertAlign val="superscript"/>
        <sz val="10"/>
        <color theme="1"/>
        <rFont val="Poppins regular"/>
      </rPr>
      <t>3</t>
    </r>
  </si>
  <si>
    <t>Concrete default thickness</t>
  </si>
  <si>
    <t>Concrete truck packing factor</t>
  </si>
  <si>
    <t>Steel density</t>
  </si>
  <si>
    <t>t/m3</t>
  </si>
  <si>
    <t>Steel roof specific mass</t>
  </si>
  <si>
    <t>kg/m2</t>
  </si>
  <si>
    <t>Specific mass of structural steel - columns</t>
  </si>
  <si>
    <t>kg/m</t>
  </si>
  <si>
    <t>Specific mass of structural steel - cross beams</t>
  </si>
  <si>
    <t>Project Costs</t>
  </si>
  <si>
    <t>Soil and Solids Properties</t>
  </si>
  <si>
    <t>Sludge density</t>
  </si>
  <si>
    <t>Rock cover density</t>
  </si>
  <si>
    <t>Soil density</t>
  </si>
  <si>
    <t>Solar Plants</t>
  </si>
  <si>
    <t>Mass of frame</t>
  </si>
  <si>
    <t>t/panel</t>
  </si>
  <si>
    <t>Storage - One-way Travel Distances (assumptions for default rates)</t>
  </si>
  <si>
    <t>Storage - general</t>
  </si>
  <si>
    <t>50 to 60 km</t>
  </si>
  <si>
    <t>Surface</t>
  </si>
  <si>
    <t>Concrete surface cover - Building</t>
  </si>
  <si>
    <t>mm</t>
  </si>
  <si>
    <t>Concrete surface cover - Parking</t>
  </si>
  <si>
    <t>Concrete footing - Module</t>
  </si>
  <si>
    <t>Concrete slab thickness - Transformer</t>
  </si>
  <si>
    <t>Asphalt surface cover</t>
  </si>
  <si>
    <t>Gravel surface cover</t>
  </si>
  <si>
    <t>Tracks and Roads</t>
  </si>
  <si>
    <t>Earthern track / road cover thickness</t>
  </si>
  <si>
    <t>Gravel / rock track / road cover thickness</t>
  </si>
  <si>
    <t>Bitumen track / road cover thickness</t>
  </si>
  <si>
    <t>Waste - One-way Travel Distances (assumptions for default rates)</t>
  </si>
  <si>
    <t>Concrete disposal</t>
  </si>
  <si>
    <t>30 to 35 km</t>
  </si>
  <si>
    <t>Includes concrete, rubble, liners. Used in the calculation of default rates for building slabs etc.</t>
  </si>
  <si>
    <t>Liquid waste disposal</t>
  </si>
  <si>
    <t>Scrapyard</t>
  </si>
  <si>
    <t>Steel and electrical disposal</t>
  </si>
  <si>
    <t>General assumption</t>
  </si>
  <si>
    <t>Number of blades on a truck</t>
  </si>
  <si>
    <t>Section length for towers</t>
  </si>
  <si>
    <t>Foundation thickness to demolish</t>
  </si>
  <si>
    <t>Working day</t>
  </si>
  <si>
    <t>Average working day</t>
  </si>
  <si>
    <t>Glass</t>
  </si>
  <si>
    <t>Aluminium</t>
  </si>
  <si>
    <t>Copper</t>
  </si>
  <si>
    <t>Silver</t>
  </si>
  <si>
    <t>Other (non-recylable)</t>
  </si>
  <si>
    <t>Panel technology</t>
  </si>
  <si>
    <t>Length</t>
  </si>
  <si>
    <t>Width</t>
  </si>
  <si>
    <t>% mass</t>
  </si>
  <si>
    <t>sq.m</t>
  </si>
  <si>
    <t>User Entered 1</t>
  </si>
  <si>
    <t>User Entered 2</t>
  </si>
  <si>
    <t>User Entered 3</t>
  </si>
  <si>
    <t>Basore, Paul, “Solar Photovoltaics Supply Chain in the United States”, at PV Cell Tech conference Oct. 2023</t>
  </si>
  <si>
    <t>Windy Hill, Atherton (0.5MW)</t>
  </si>
  <si>
    <t>Windy Hill, Atheron 8MW</t>
  </si>
  <si>
    <t>Mass - total</t>
  </si>
  <si>
    <t>Recyclable Components</t>
  </si>
  <si>
    <t>Non-recyclable Components</t>
  </si>
  <si>
    <t>Rotor</t>
  </si>
  <si>
    <t>Diameter</t>
  </si>
  <si>
    <t>Length (blades)</t>
  </si>
  <si>
    <t>Max. Chord (blades)</t>
  </si>
  <si>
    <t>Height (hub)</t>
  </si>
  <si>
    <t>Width (hub)</t>
  </si>
  <si>
    <t>Length (hub)</t>
  </si>
  <si>
    <t>Diameter (hub)</t>
  </si>
  <si>
    <t>Mass of all blades</t>
  </si>
  <si>
    <t>Mass of rotor (blades + hub)</t>
  </si>
  <si>
    <t>Height (i.e., hub heights)</t>
  </si>
  <si>
    <t>Diameter - bottom</t>
  </si>
  <si>
    <t>Diameter - top</t>
  </si>
  <si>
    <t xml:space="preserve">  </t>
  </si>
  <si>
    <t>Height</t>
  </si>
  <si>
    <t>Gearbox</t>
  </si>
  <si>
    <t>Oil volume</t>
  </si>
  <si>
    <t>Foundation</t>
  </si>
  <si>
    <t>Thickness</t>
  </si>
  <si>
    <t>https://www.vestas.com/content/dam/vestas-com/global/en/sustainability/environment/2023_04_Material-Use-Brochure_Vestas.pdf.coredownload.inline.pdf</t>
  </si>
  <si>
    <t>Enercon E44/600 - Manufacturers and turbines - Online access - The Wind Power</t>
  </si>
  <si>
    <t>4.5 MW</t>
  </si>
  <si>
    <t>N163/5.X - Nordex SE</t>
  </si>
  <si>
    <t>CDR-PDF-000038-Brochures-Vestas-V112.pdf</t>
  </si>
  <si>
    <t>(different capacity so specs may differ)</t>
  </si>
  <si>
    <t>https://www.vestas.com/content/dam/vestas-com/global/en/brochures/onshore/4MW_Platform_Brochure.pdf.coredownload.inline.pdf</t>
  </si>
  <si>
    <t>V162-6.2 MW™</t>
  </si>
  <si>
    <t>Technical Documentation Wind Turbine Generator Systems 3.6-137 - 50/60 Hz - DocsLib</t>
  </si>
  <si>
    <t>GE Vernova GE 3.8-130 - 3,80 MW - Wind turbine</t>
  </si>
  <si>
    <t>Vestas_V47.pdf</t>
  </si>
  <si>
    <t>Components</t>
  </si>
  <si>
    <t>Steel (carbon/stainless)</t>
  </si>
  <si>
    <t>Lithium-iron-phosphate cells</t>
  </si>
  <si>
    <t>Electronics</t>
  </si>
  <si>
    <t>Plastics/polymers</t>
  </si>
  <si>
    <t>Cooling fluids/misc. liquids</t>
  </si>
  <si>
    <t>Glass/ceramics/insulation</t>
  </si>
  <si>
    <t>Other (paint, gaskets, fasteners)</t>
  </si>
  <si>
    <t>Dimensions</t>
  </si>
  <si>
    <t>Depth</t>
  </si>
  <si>
    <t>Liquids</t>
  </si>
  <si>
    <t>L</t>
  </si>
  <si>
    <t>Megapack 2 Datasheet</t>
  </si>
  <si>
    <t>Megapack 2 XL Datasheet</t>
  </si>
  <si>
    <t>This sheet is a functional sheet only, Users do not need to use it.</t>
  </si>
  <si>
    <t>Lists</t>
  </si>
  <si>
    <t>Yes</t>
  </si>
  <si>
    <t>No</t>
  </si>
  <si>
    <t>N/A</t>
  </si>
  <si>
    <t>Dozer Push Length</t>
  </si>
  <si>
    <t>Materials</t>
  </si>
  <si>
    <t>None</t>
  </si>
  <si>
    <t>Brick</t>
  </si>
  <si>
    <t>Steel</t>
  </si>
  <si>
    <t>Concrete</t>
  </si>
  <si>
    <t>Land</t>
  </si>
  <si>
    <t>Load and Haul</t>
  </si>
  <si>
    <t>&gt; 6000 m</t>
  </si>
  <si>
    <t>Long Haul Distance Ranges</t>
  </si>
  <si>
    <t>&lt; 5 km</t>
  </si>
  <si>
    <t>5 to 10 km</t>
  </si>
  <si>
    <t>10 to 15 km</t>
  </si>
  <si>
    <t>15 to 20 km</t>
  </si>
  <si>
    <t>20 to 25 km</t>
  </si>
  <si>
    <t>25 to 30 km</t>
  </si>
  <si>
    <t>35 to 40 km</t>
  </si>
  <si>
    <t>40 to 45 km</t>
  </si>
  <si>
    <t>45 to 50 km</t>
  </si>
  <si>
    <t>60 to 70 km</t>
  </si>
  <si>
    <t>70 to 80 km</t>
  </si>
  <si>
    <t>80 to 90 km</t>
  </si>
  <si>
    <t>90 to 100 km</t>
  </si>
  <si>
    <t>100 to 150 km</t>
  </si>
  <si>
    <t>150 to 200 km</t>
  </si>
  <si>
    <t>200 to 250 km</t>
  </si>
  <si>
    <t>&gt; 250 km</t>
  </si>
  <si>
    <t>Short Distances</t>
  </si>
  <si>
    <t>&gt;5km</t>
  </si>
  <si>
    <t>Seed / Plant Method</t>
  </si>
  <si>
    <t>Handcast</t>
  </si>
  <si>
    <t>Dozer applied</t>
  </si>
  <si>
    <t>Plant</t>
  </si>
  <si>
    <t>Spray</t>
  </si>
  <si>
    <t>Vegetation</t>
  </si>
  <si>
    <t>No vegetation</t>
  </si>
  <si>
    <t>Earth compacted</t>
  </si>
  <si>
    <t>Grass</t>
  </si>
  <si>
    <t>Trees</t>
  </si>
  <si>
    <t>Waste Disposal</t>
  </si>
  <si>
    <t>Qty name</t>
  </si>
  <si>
    <t>Concrete rubble debris disposal</t>
  </si>
  <si>
    <t>Steel disposal</t>
  </si>
  <si>
    <t>Hazardous waste</t>
  </si>
  <si>
    <t>Restricted solid waste</t>
  </si>
  <si>
    <t>Low level solid waste</t>
  </si>
  <si>
    <t>Waste Levy</t>
  </si>
  <si>
    <t>Standard levy - metropolitan</t>
  </si>
  <si>
    <t>Standard levy - regional</t>
  </si>
  <si>
    <t>No levy (outside zones)</t>
  </si>
  <si>
    <t xml:space="preserve">Surface Cover </t>
  </si>
  <si>
    <t>Earthen</t>
  </si>
  <si>
    <t>Gravel / rock</t>
  </si>
  <si>
    <t>Bitumen</t>
  </si>
  <si>
    <t>Small turbine</t>
  </si>
  <si>
    <t>Type</t>
  </si>
  <si>
    <t>Summary</t>
  </si>
  <si>
    <t>h</t>
  </si>
  <si>
    <t>Isolate and electrically and mechanically disconnect panel from rack</t>
  </si>
  <si>
    <t>Load Panel</t>
  </si>
  <si>
    <t xml:space="preserve">Cut-up and load racking </t>
  </si>
  <si>
    <t>Pull out and load piles</t>
  </si>
  <si>
    <t>Load concrete footings</t>
  </si>
  <si>
    <t>Remove oil from gearbox</t>
  </si>
  <si>
    <t xml:space="preserve">kL </t>
  </si>
  <si>
    <t>$/kL</t>
  </si>
  <si>
    <t>$/rotor</t>
  </si>
  <si>
    <t>$/nacelle</t>
  </si>
  <si>
    <t>$/tower</t>
  </si>
  <si>
    <t>$/m3</t>
  </si>
  <si>
    <t>$/turbine</t>
  </si>
  <si>
    <t>$/module</t>
  </si>
  <si>
    <t>Remove and dispose of liquids</t>
  </si>
  <si>
    <t>$/t-km</t>
  </si>
  <si>
    <t>DC Cable - Stringers</t>
  </si>
  <si>
    <t>DC Cable - Feeders - above ground</t>
  </si>
  <si>
    <t>DC Cable - Feeders - below ground</t>
  </si>
  <si>
    <t>AC Low Voltage Cable</t>
  </si>
  <si>
    <t>AC medium Voltage Cable</t>
  </si>
  <si>
    <t>Fibre / Control Cable</t>
  </si>
  <si>
    <t>MV AC Collection System</t>
  </si>
  <si>
    <t>LV Cable</t>
  </si>
  <si>
    <t>$/km</t>
  </si>
  <si>
    <t>$ / km</t>
  </si>
  <si>
    <t>Used</t>
  </si>
  <si>
    <t>Communications Tower</t>
  </si>
  <si>
    <t>Meteorological Mast</t>
  </si>
  <si>
    <t>Remove and dispose liquids</t>
  </si>
  <si>
    <t>Diesel generators</t>
  </si>
  <si>
    <t>$/structure</t>
  </si>
  <si>
    <t>Total mass</t>
  </si>
  <si>
    <t>Per unit</t>
  </si>
  <si>
    <t>TOTAL</t>
  </si>
  <si>
    <t>Load, Haul, Dump Soil / Growth Media around Site (small fleet)</t>
  </si>
  <si>
    <t>Load, Haul, Dump Bitumen / Concrete / Stabilised Materials around Site (small fleet)</t>
  </si>
  <si>
    <t>$/panel-km</t>
  </si>
  <si>
    <t>$/rotor-km</t>
  </si>
  <si>
    <t>$/nacelle-km</t>
  </si>
  <si>
    <t>$/tower-km</t>
  </si>
  <si>
    <t>$/m3-km</t>
  </si>
  <si>
    <t>$/kL-km</t>
  </si>
  <si>
    <t>$/module-km</t>
  </si>
  <si>
    <t>$/drum-km</t>
  </si>
  <si>
    <t>Handcast Pasture seed</t>
  </si>
  <si>
    <t>Dozer applied Native seed</t>
  </si>
  <si>
    <t>Handcast Native seed</t>
  </si>
  <si>
    <t>Plant Tube stock</t>
  </si>
  <si>
    <t>Plant Trees - mature</t>
  </si>
  <si>
    <t>$/ha</t>
  </si>
  <si>
    <t>Application rate</t>
  </si>
  <si>
    <t>Hydro-rig</t>
  </si>
  <si>
    <t>Construction labour</t>
  </si>
  <si>
    <t>Storage fee</t>
  </si>
  <si>
    <t>building</t>
  </si>
  <si>
    <t>m2-floor</t>
  </si>
  <si>
    <t>Explosives</t>
  </si>
  <si>
    <t>$/m2</t>
  </si>
  <si>
    <t>Silo</t>
  </si>
  <si>
    <t>Rail loading bin</t>
  </si>
  <si>
    <t>Thickening</t>
  </si>
  <si>
    <t>Horizontal</t>
  </si>
  <si>
    <t>Rainwater</t>
  </si>
  <si>
    <t>Galvanised - small</t>
  </si>
  <si>
    <t>Steel wall</t>
  </si>
  <si>
    <t>Concrete wall</t>
  </si>
  <si>
    <t>Steel roof</t>
  </si>
  <si>
    <t>Open top</t>
  </si>
  <si>
    <t>Concrete roof</t>
  </si>
  <si>
    <t>Closed top</t>
  </si>
  <si>
    <t>Steel floor</t>
  </si>
  <si>
    <t>Concrete base</t>
  </si>
  <si>
    <t>Buried</t>
  </si>
  <si>
    <t>Earth base</t>
  </si>
  <si>
    <t>Not lined</t>
  </si>
  <si>
    <t>Single skin</t>
  </si>
  <si>
    <t>No cladding</t>
  </si>
  <si>
    <t>Site</t>
  </si>
  <si>
    <t>$/substation</t>
  </si>
  <si>
    <t>Airstrip with bitumen cover</t>
  </si>
  <si>
    <t>Inverters</t>
  </si>
  <si>
    <t>Power Conditioners</t>
  </si>
  <si>
    <t>Converters</t>
  </si>
  <si>
    <t>Transformers</t>
  </si>
  <si>
    <t xml:space="preserve">Concrete crush to 30mm </t>
  </si>
  <si>
    <t>&gt; 500m push</t>
  </si>
  <si>
    <t>Wind Farm Permitting</t>
  </si>
  <si>
    <t>Solar Farm Permitting</t>
  </si>
  <si>
    <t>Wind Farm Decommissioning Plan</t>
  </si>
  <si>
    <t>Solar Farm Decommissioning Plan</t>
  </si>
  <si>
    <t>plan</t>
  </si>
  <si>
    <t>Source 17</t>
  </si>
  <si>
    <t>Quanitities are never expected to be entered twice. Where there are more than one table for an activity, for example buildings by area and buildings by number, the User enters quantities for a specific building to one table only. The intent of the two tables is to provide flexibility. For example if a User</t>
  </si>
  <si>
    <t>has limited building information, they may chose to enter the by number table. Users can enter to both tables but must not enter the same building to both tables.</t>
  </si>
  <si>
    <t>BESS recycling (costs not credits)</t>
  </si>
  <si>
    <t>Per MW</t>
  </si>
  <si>
    <t>Per hectare</t>
  </si>
  <si>
    <t>Number of panels</t>
  </si>
  <si>
    <t>Land area</t>
  </si>
  <si>
    <t>hectares</t>
  </si>
  <si>
    <t>Number of type</t>
  </si>
  <si>
    <t>Per turbine</t>
  </si>
  <si>
    <t>Totals and by unit before recycling</t>
  </si>
  <si>
    <t>Totals and by unit after recycling</t>
  </si>
  <si>
    <t>Check on sum before recycling</t>
  </si>
  <si>
    <t>Check on sum for recycling</t>
  </si>
  <si>
    <t>Check on sum after recycling</t>
  </si>
  <si>
    <t>Total wind turbines only</t>
  </si>
  <si>
    <t>Credit per turbine</t>
  </si>
  <si>
    <t>Cost per turbine (wind turbine costs only)</t>
  </si>
  <si>
    <t>Per module</t>
  </si>
  <si>
    <t>MW AC</t>
  </si>
  <si>
    <t>TOTAL OF PORTFOLIO before RECYCLING</t>
  </si>
  <si>
    <t>Total of Live</t>
  </si>
  <si>
    <t>TOTAL OF PORTFOLIO RECYCLING</t>
  </si>
  <si>
    <t>TOTAL OF PORTFOLIO after RECYCLING</t>
  </si>
  <si>
    <t>Number of turbines</t>
  </si>
  <si>
    <t>Storage fee - batteries</t>
  </si>
  <si>
    <t>Bolts</t>
  </si>
  <si>
    <t>Number of steel bolts per m2 (foundation) - coefficient 1</t>
  </si>
  <si>
    <t>Number of steel bolts per m2 (foundation) - coefficient 2</t>
  </si>
  <si>
    <t>Bolt mass</t>
  </si>
  <si>
    <t>Bolt removal time</t>
  </si>
  <si>
    <t>$/bolt</t>
  </si>
  <si>
    <t>Bolt removal</t>
  </si>
  <si>
    <t>bolts</t>
  </si>
  <si>
    <t>Haul and unload panels</t>
  </si>
  <si>
    <t>Haul and unload rotor (blades and hub)</t>
  </si>
  <si>
    <t>Haul and unload nacelles</t>
  </si>
  <si>
    <t>Haul and unload towers</t>
  </si>
  <si>
    <t>Haul and unload copper cables</t>
  </si>
  <si>
    <t>Haul and unload cable drums</t>
  </si>
  <si>
    <t>Wind Farm Collapse Plan</t>
  </si>
  <si>
    <t>Explosives for wind turbine collapse</t>
  </si>
  <si>
    <t>Section length (blades and tower) for collapse method</t>
  </si>
  <si>
    <t>Indicates value is not confirmed. User entered values must have all entries.</t>
  </si>
  <si>
    <t>Section per truck for collapse method</t>
  </si>
  <si>
    <t>Cooling</t>
  </si>
  <si>
    <t>kilolitres</t>
  </si>
  <si>
    <t>Footprint for slab</t>
  </si>
  <si>
    <t>Concrete slab and foundations for BESS and inverters</t>
  </si>
  <si>
    <t>Volume of concrete</t>
  </si>
  <si>
    <t>m2 all modules</t>
  </si>
  <si>
    <t>Mass of concrete</t>
  </si>
  <si>
    <t>t all modules</t>
  </si>
  <si>
    <t>Break up concrete</t>
  </si>
  <si>
    <t>Break up slab and footings</t>
  </si>
  <si>
    <t>Break up concrete foundation and footings</t>
  </si>
  <si>
    <t>Load, Haul, Dump Modules from off-site &gt; 25 to &lt;= 30 km</t>
  </si>
  <si>
    <t>Total benefit from recycling turbines</t>
  </si>
  <si>
    <t>https://premier-metals.com.au/copper-scrap-prices/</t>
  </si>
  <si>
    <t>https://premier-metals.com.au/how-much-scrap-metal-prices-australia/</t>
  </si>
  <si>
    <t>Assumes all aluminium</t>
  </si>
  <si>
    <t>Length (km)</t>
  </si>
  <si>
    <t>Generation</t>
  </si>
  <si>
    <t>Per MWh</t>
  </si>
  <si>
    <t>m2/turbine</t>
  </si>
  <si>
    <t>m3 all turbines</t>
  </si>
  <si>
    <t>t all turbines</t>
  </si>
  <si>
    <t>Load and haul concrete</t>
  </si>
  <si>
    <t>Disposal of steel of items not included above (by mass)</t>
  </si>
  <si>
    <t>Disposal of construction debris including concrete of items not included above (by mass)</t>
  </si>
  <si>
    <t xml:space="preserve">t </t>
  </si>
  <si>
    <t>Crush concrete</t>
  </si>
  <si>
    <t>Load and haul to crusher</t>
  </si>
  <si>
    <t>Load, haul and place around site</t>
  </si>
  <si>
    <t>This example concrete is crushed</t>
  </si>
  <si>
    <t>m3-km</t>
  </si>
  <si>
    <t xml:space="preserve">South Australia Hydrogen and Renewable Energy Restoration Cost Estimation Tool </t>
  </si>
  <si>
    <t>User input sheet for hydrogen generating elements including water. Use wind / solar / BESS for energy source.</t>
  </si>
  <si>
    <t>User input sheet for battery energy storage systems.</t>
  </si>
  <si>
    <t xml:space="preserve">User input sheet for hydrogen generating elements including water. </t>
  </si>
  <si>
    <t>Revision History:</t>
  </si>
  <si>
    <t>General Information</t>
  </si>
  <si>
    <t>Go to the input sheet of the plant type (solar, wind, BESS, green hydrogen, blue hydrogen) you wish to estimate.</t>
  </si>
  <si>
    <t>Electrolysers</t>
  </si>
  <si>
    <t>Make</t>
  </si>
  <si>
    <t>Thyssenkrupp nucera</t>
  </si>
  <si>
    <t>FEST Group</t>
  </si>
  <si>
    <t>Nel Hydrogen</t>
  </si>
  <si>
    <t>Siemens</t>
  </si>
  <si>
    <t>Scalum</t>
  </si>
  <si>
    <t>gEL400</t>
  </si>
  <si>
    <t>gEL500</t>
  </si>
  <si>
    <t>gEL600</t>
  </si>
  <si>
    <t>gEL1000 / 1000R</t>
  </si>
  <si>
    <t>PSM Series</t>
  </si>
  <si>
    <t>Elyzer® P-300</t>
  </si>
  <si>
    <t>Alkaline</t>
  </si>
  <si>
    <t>PEM</t>
  </si>
  <si>
    <t>Containers</t>
  </si>
  <si>
    <t>20ft</t>
  </si>
  <si>
    <t>40ft</t>
  </si>
  <si>
    <t>Electrolyte volume</t>
  </si>
  <si>
    <t>PEM electrolyzer (2-50 MW): modular and scalable</t>
  </si>
  <si>
    <t>PEM Electrolyser - PSM Series | Nel Hydrogen</t>
  </si>
  <si>
    <t>Electrolyser model</t>
  </si>
  <si>
    <t>Depressurise and remove residual hydrogen gas</t>
  </si>
  <si>
    <t>GREEN HYDROGEN</t>
  </si>
  <si>
    <t>User Entered 4</t>
  </si>
  <si>
    <t>User Entered 5</t>
  </si>
  <si>
    <t>User Entered 6</t>
  </si>
  <si>
    <t>User Entered 7</t>
  </si>
  <si>
    <t>User Entered 8</t>
  </si>
  <si>
    <t>Total BESS modules only</t>
  </si>
  <si>
    <t>SA Government</t>
  </si>
  <si>
    <t>Brooks Hire - DRY HIRE RATE (5.5m dig depth)</t>
  </si>
  <si>
    <t>Brooks Hire - DRY HIRE RATE</t>
  </si>
  <si>
    <t>Brooks Hire - DRY HIRE RATE (20-24t)</t>
  </si>
  <si>
    <t>Brooks Hire - DRY HIRE RATE (50-55t)</t>
  </si>
  <si>
    <t>Truck 740C</t>
  </si>
  <si>
    <t>Mine spec vehicle (dual cab with tray) hire from Budget Adelaide city - base rate &lt;200km/day</t>
  </si>
  <si>
    <t>Cleanaway SA</t>
  </si>
  <si>
    <t>Waste levy (liquid waste)</t>
  </si>
  <si>
    <t>Waste levy (metropolitan solid waste)</t>
  </si>
  <si>
    <t>Waste levy (non-metropolitan solid waste)</t>
  </si>
  <si>
    <t>Disposal (gate fee) waste fill</t>
  </si>
  <si>
    <t>Disposal (gate fee) intermediate waste</t>
  </si>
  <si>
    <t>Disposal (gate fee) low level solid waste</t>
  </si>
  <si>
    <t>Disposal (gate fee) high level solid waste</t>
  </si>
  <si>
    <t>Electrolyser</t>
  </si>
  <si>
    <t>Total solar panels only</t>
  </si>
  <si>
    <t>Cost per panel (solar panel costs only)</t>
  </si>
  <si>
    <t>Per panel</t>
  </si>
  <si>
    <t>Disconnect grid - major</t>
  </si>
  <si>
    <t>Disconnect grid - minor</t>
  </si>
  <si>
    <t>Wind turbine cable disconnect</t>
  </si>
  <si>
    <t>Disconnect utilities (site-wide)</t>
  </si>
  <si>
    <t>Disconnect utilities (remote)</t>
  </si>
  <si>
    <t>Electrolyser capacity</t>
  </si>
  <si>
    <t>t H2 / day</t>
  </si>
  <si>
    <t>Site Area (green H2 only)</t>
  </si>
  <si>
    <t>Disconnect from power supply</t>
  </si>
  <si>
    <t>Water requirement</t>
  </si>
  <si>
    <t>ML/day</t>
  </si>
  <si>
    <t>Green Hydrogen</t>
  </si>
  <si>
    <t>L/kgH2</t>
  </si>
  <si>
    <t>Kilolitres in megalitres</t>
  </si>
  <si>
    <t>kL/ML</t>
  </si>
  <si>
    <t>GreenH2 small (&lt;=50MW)</t>
  </si>
  <si>
    <t>GreenH2 medium (50 to 500MW)</t>
  </si>
  <si>
    <t>GreenH2 large (&gt; 500MW)</t>
  </si>
  <si>
    <t xml:space="preserve">Depressurise </t>
  </si>
  <si>
    <t>plant</t>
  </si>
  <si>
    <t>plant               total</t>
  </si>
  <si>
    <t xml:space="preserve">Disconnect and remove modules  / skids / containers unit rates </t>
  </si>
  <si>
    <t>container</t>
  </si>
  <si>
    <t>20 ftcontainer</t>
  </si>
  <si>
    <t>40 ftcontainer</t>
  </si>
  <si>
    <t>kL total all modules</t>
  </si>
  <si>
    <t>20' container all modules</t>
  </si>
  <si>
    <t>40' container all modules</t>
  </si>
  <si>
    <t>Transport containers</t>
  </si>
  <si>
    <t>Load, Haul, Dump Modules from off-site &gt; 15 to &lt;= 20 km</t>
  </si>
  <si>
    <t>Water Supply</t>
  </si>
  <si>
    <t>t/day</t>
  </si>
  <si>
    <t>Water consumption</t>
  </si>
  <si>
    <t>ML all modules</t>
  </si>
  <si>
    <t xml:space="preserve">Reverse osmosis units </t>
  </si>
  <si>
    <t xml:space="preserve">Water demand </t>
  </si>
  <si>
    <t># per plant</t>
  </si>
  <si>
    <t>Reverse osmosis units disconnect and load</t>
  </si>
  <si>
    <t>Reverse osmosis units transport</t>
  </si>
  <si>
    <t>all units</t>
  </si>
  <si>
    <t>Disconnect and remove reverse osmosis container</t>
  </si>
  <si>
    <t>40 ft container</t>
  </si>
  <si>
    <t>Hydrogen compressors - capacity per compressor</t>
  </si>
  <si>
    <t>compressors</t>
  </si>
  <si>
    <t>Number of compressors</t>
  </si>
  <si>
    <t>Disconnect and remove hydrogen compressor</t>
  </si>
  <si>
    <t>compressor</t>
  </si>
  <si>
    <t>Compressor remove and load</t>
  </si>
  <si>
    <t>compress</t>
  </si>
  <si>
    <t>Dispose construction debris including concrete not part of items above</t>
  </si>
  <si>
    <t>Drain, remove and transport water supply and purification</t>
  </si>
  <si>
    <t>Remove and transport hydrogen compressors</t>
  </si>
  <si>
    <t>Average distance to travel</t>
  </si>
  <si>
    <t>Decommission tracks and roads and rehabilitate</t>
  </si>
  <si>
    <t>Decommission laydown areas and rehabilitate</t>
  </si>
  <si>
    <t>Decommission airstrips and rehabilitate</t>
  </si>
  <si>
    <t>Demolish / remove buildings (by area)</t>
  </si>
  <si>
    <t>Demolish / remove buildings (by number)</t>
  </si>
  <si>
    <t>Apply growth media to rehabilitate land</t>
  </si>
  <si>
    <t xml:space="preserve">Apply ameliorants to rehabilitate land </t>
  </si>
  <si>
    <t xml:space="preserve">Revegetate to rehabilitate land </t>
  </si>
  <si>
    <t>Dispose of steel not part of items above</t>
  </si>
  <si>
    <t>Dispose of soil (by mass)</t>
  </si>
  <si>
    <t>Report and document</t>
  </si>
  <si>
    <t>Total process units only</t>
  </si>
  <si>
    <t>electrolysers</t>
  </si>
  <si>
    <t>GreenH2 disconnect from power supply</t>
  </si>
  <si>
    <t>Fuel tanker</t>
  </si>
  <si>
    <t xml:space="preserve">Disconnect Grid / Utilities </t>
  </si>
  <si>
    <t>Tank Base</t>
  </si>
  <si>
    <t>Double skin</t>
  </si>
  <si>
    <t>Tank Liner</t>
  </si>
  <si>
    <t>Lined</t>
  </si>
  <si>
    <t>Tank Type</t>
  </si>
  <si>
    <t>Vertical</t>
  </si>
  <si>
    <t>Hor frac</t>
  </si>
  <si>
    <t>Panel</t>
  </si>
  <si>
    <t>Hopper</t>
  </si>
  <si>
    <t>Tank Wall</t>
  </si>
  <si>
    <t>Tank Top/Roof</t>
  </si>
  <si>
    <t>Concrete ring</t>
  </si>
  <si>
    <t>Tank Cladding</t>
  </si>
  <si>
    <t>Aluminium cladding</t>
  </si>
  <si>
    <t>Plastic wall</t>
  </si>
  <si>
    <t>Skid base</t>
  </si>
  <si>
    <t>Plastic base</t>
  </si>
  <si>
    <t>Specific mass of 50 mm steel pipe</t>
  </si>
  <si>
    <t>Tank Containment</t>
  </si>
  <si>
    <t>Tank Details</t>
  </si>
  <si>
    <t>Geomembrane specific mass</t>
  </si>
  <si>
    <t>t/m2</t>
  </si>
  <si>
    <t>Liner specific mass</t>
  </si>
  <si>
    <t>Silo steel thickness</t>
  </si>
  <si>
    <t>Silo concrete pad thickness</t>
  </si>
  <si>
    <t>Rail loading bin steel thickness</t>
  </si>
  <si>
    <t>Thickening tanks</t>
  </si>
  <si>
    <t>Thickening tanks steel thickness</t>
  </si>
  <si>
    <t>Concrete rail loading bin thickness</t>
  </si>
  <si>
    <t>Buried tank steel thickness</t>
  </si>
  <si>
    <t>Excavator Cut Liner</t>
  </si>
  <si>
    <t xml:space="preserve">Excavator Liner Rolling </t>
  </si>
  <si>
    <t>Panel tank Mass of reinforcing cable (12.7 mm)</t>
  </si>
  <si>
    <t>Panel tank Mass of capture cable (15.2 mm)</t>
  </si>
  <si>
    <t>Summary Page</t>
  </si>
  <si>
    <t>Disconnect and remove AC low voltage cables</t>
  </si>
  <si>
    <t>Disconnect and remove AC medium voltage cables</t>
  </si>
  <si>
    <t>≤ 200 m</t>
  </si>
  <si>
    <t>&gt;200 m to ≤500 m</t>
  </si>
  <si>
    <t>&gt;500 m to ≤1000 m</t>
  </si>
  <si>
    <t>&gt;1000 m to ≤1500 m</t>
  </si>
  <si>
    <t>&gt;1500 m to ≤2000 m</t>
  </si>
  <si>
    <t>&gt;2000 m to ≤2500 m</t>
  </si>
  <si>
    <t>&gt;2500 m to ≤3000 m</t>
  </si>
  <si>
    <t>&gt;3000 m to ≤4000 m</t>
  </si>
  <si>
    <t>&gt;4000 m to ≤5000 m</t>
  </si>
  <si>
    <t>&gt;5000 m to ≤6000 m</t>
  </si>
  <si>
    <t>≤1km</t>
  </si>
  <si>
    <t>&gt;1km ≤2km</t>
  </si>
  <si>
    <t>&gt;2km ≤5km</t>
  </si>
  <si>
    <t>Load, Haul, Dump Soil / Growth Media around Site (small fleet) &gt;1000 m to ≤1500 m</t>
  </si>
  <si>
    <t>Load, Haul, Dump Bitumen / Concrete / Stabilised Materials around Site (small fleet) ≤ 200 m</t>
  </si>
  <si>
    <t>Meteorological masts and communications towers</t>
  </si>
  <si>
    <t>Remove communications towers</t>
  </si>
  <si>
    <t>structures</t>
  </si>
  <si>
    <t>Load, Haul, Dump Bitumen / Concrete / Stabilised Materials around Site (small fleet) &gt;200 m to ≤500 m</t>
  </si>
  <si>
    <t>Load, Haul, Dump Bitumen / Concrete / Stabilised Materials around Site (small fleet) &gt;500 m to ≤1000 m</t>
  </si>
  <si>
    <t>Load, Haul, Dump Soil / Growth Media around Site (small fleet) &gt;500 m to ≤1000 m</t>
  </si>
  <si>
    <t>Haul and unload solar panels &gt; 250 km</t>
  </si>
  <si>
    <t>Drain, remove and transport electrolysers</t>
  </si>
  <si>
    <t>Demolish hydrogen storage tanks</t>
  </si>
  <si>
    <t>tank</t>
  </si>
  <si>
    <t>tanks</t>
  </si>
  <si>
    <t>tank        total</t>
  </si>
  <si>
    <t>BESS / H2 fleet &lt;= 150 km</t>
  </si>
  <si>
    <t>Enter the quantities to the top left hand side of the sheet, as shown below.</t>
  </si>
  <si>
    <t>You can enter quantities for one site/scenario at a time.</t>
  </si>
  <si>
    <t xml:space="preserve">As you progress through the input sheet there will be other green cells that you can enter values into along the left hand side of the sheet, as shown below. </t>
  </si>
  <si>
    <t>Many quantity entries have an associated drop-down selection as shown below.</t>
  </si>
  <si>
    <t>Go to the Summary page to view the total costs of the site/scenarios that were established in the input sheets.</t>
  </si>
  <si>
    <t>First complete draft to SA DEM.</t>
  </si>
  <si>
    <t>Revised first draft to fix minor errors.</t>
  </si>
  <si>
    <t xml:space="preserve">then be available for selection in the input sheets, as shown below. </t>
  </si>
  <si>
    <t xml:space="preserve">By using this calculator, the User agrees to the following Terms and Conditions:
1. The calculator is a general tool which identifies a range of activities relating to decommissioning and rehabilitation of hydrogen and renewable energy projects. The calculator is made available by DEM to assist licensees in the calculation of a rehabilitation liability estimate. Rehabilitation liability estimates are used in the determination of financial security required pursuant to the Hydrogen and Renewable Energy Act 2023.
2. Licensees must ensure they use the most up to date version of the calculator by checking the DEM website. DEM may revise the rates and/or formulae used in the calculator at any time without notice but is not under any obligation to do so. 
3. The licensee should rely on their own independent investigations, review and analysis in using the calculator. 
4. The output of the calculator will depend upon the accuracy of the information entered by the user concerning the relevant approved licence and current and future conditions. 
5. In relation to any rehabilitation liability estimate submitted to DEM, DEM reserves the right to review the accuracy of the information entered and or the calculation derived by use of the calculator. 
6. The third-party rates included in the calculator may not be altered for the purpose of producing a liability estimate. Where appropriate, licensees may enter alternative unit rates for the purposes of producing a liability estimate provided that supporting documentation is provided to DEM to support acceptance by DEM of such alternative unit rates. DEM is not obliged to accept such alternative unit rates.
7. DEM does not warrant or represent that the calculator or the information it contains is free from errors or omissions or is suitable for a licensee’s intended use. To the maximum extent permitted by law, DEM:
     • excludes any representation or warranty (expressed or implied) as to the accuracy, reliability, completeness, quality, 
       performance or fitness for any purpose of the calculator or any information it contains or any calculation derived by use of the 
       calculator; and 
     • excludes any liability (whether arising from negligence or otherwise) for any claims, expenses, losses, damages and costs, 
       including direct, indirect or consequential loss, legal costs and including loss of revenue, contracts, profit or opportunity which 
       the licensee may directly or indirectly suffer in connection with: 
              o the licensee’s use of, or access to (or inability to use or access), any part of the calculator, or any information contained in 
                 the calculator or any calculation derived by use of the calculator
              o the licensee’s reliance on any part of the calculator, any information contained in the calculator or any calculation derived 
                 by use of the calculator
              o any part of the calculator, or any information contained in the calculator or any calculator derived from the calculator being 
                 accurate, incomplete or unfit for any particular purpose or incapable of being processed on the licensee’s equipment or 
                 systems
              o any computer virus or other harmful code contained in or arising from access to or use of the calculator, or any damage to or 
                 interference with any data software or hardware arising from access to or use of the calculator. </t>
  </si>
  <si>
    <t xml:space="preserve">Area of site to rehabilitate </t>
  </si>
  <si>
    <t>w/fuel and operator (typical Caterpillar 374F)</t>
  </si>
  <si>
    <t>User Guide</t>
  </si>
  <si>
    <t>Solar</t>
  </si>
  <si>
    <t>Wind</t>
  </si>
  <si>
    <t>Blue Hydrogen</t>
  </si>
  <si>
    <t>Information</t>
  </si>
  <si>
    <t>Mass (t total)</t>
  </si>
  <si>
    <t>Mass (kg total)</t>
  </si>
  <si>
    <t>Sources / Notes</t>
  </si>
  <si>
    <t>User Sources / Notes</t>
  </si>
  <si>
    <t>https://www.engineeringtoolbox.com/metal-alloys-densities-d_50.html  (20 to 30% swell)</t>
  </si>
  <si>
    <t>w/fuel and operator, Brooks Hire - DRY HIRE RATE</t>
  </si>
  <si>
    <t xml:space="preserve"> + delivery and GST, Pacific Fertilisers</t>
  </si>
  <si>
    <t>w/fuel and operator, Adelaide Crane Trucks - light rigid/site truck (4.5m tray)</t>
  </si>
  <si>
    <t>w/fuel and operator, Brooks Hire - DRY HIRE RATE (tipper truck, 8 wheel, 14m3)</t>
  </si>
  <si>
    <t>w/fuel and operator, Adelaide Crane Trucks - 4t rigid crane truck</t>
  </si>
  <si>
    <t xml:space="preserve">w/fuel and operator, Adelaide Crane Trucks - semi tray top </t>
  </si>
  <si>
    <t>Cleanaway SA, Waste Disposal J120, Oil/Water Mix &gt; 10 to &lt; 25% Solids</t>
  </si>
  <si>
    <t>Cleanaway SA, $125.00 per service</t>
  </si>
  <si>
    <r>
      <rPr>
        <sz val="10"/>
        <rFont val="Poppins regular"/>
      </rPr>
      <t xml:space="preserve">Southern Recycling Centre: </t>
    </r>
    <r>
      <rPr>
        <u/>
        <sz val="10"/>
        <color theme="10"/>
        <rFont val="Poppins regular"/>
      </rPr>
      <t>Gate Fees 2025 - 2026.pdf</t>
    </r>
  </si>
  <si>
    <r>
      <rPr>
        <sz val="10"/>
        <rFont val="Poppins regular"/>
      </rPr>
      <t xml:space="preserve">EPA South Australia FY2025-26: </t>
    </r>
    <r>
      <rPr>
        <u/>
        <sz val="10"/>
        <color theme="10"/>
        <rFont val="Poppins regular"/>
      </rPr>
      <t>https://www.epa.sa.gov.au/business_and_industry/waste-levy</t>
    </r>
  </si>
  <si>
    <r>
      <rPr>
        <sz val="10"/>
        <rFont val="Poppins regular"/>
      </rPr>
      <t xml:space="preserve">PSO Scheme ($0.50/L est. re-refined base oil): </t>
    </r>
    <r>
      <rPr>
        <u/>
        <sz val="10"/>
        <color theme="10"/>
        <rFont val="Poppins regular"/>
      </rPr>
      <t xml:space="preserve">https://www.dcceew.gov.au/environment/protection/used-oil-recycling/product-stewardship-oil-program </t>
    </r>
  </si>
  <si>
    <t>Assumes all copper (est. km/drum values for drum diameter 1m, width 0.7m, max 350kg)</t>
  </si>
  <si>
    <t>m/min</t>
  </si>
  <si>
    <t>Additional line item - user to name activity</t>
  </si>
  <si>
    <t>Total volume</t>
  </si>
  <si>
    <t>Load, Haul, Dump Bitumen / Concrete / Stabilised Materials around Site (small fleet) &gt;1500 m to ≤2000 m</t>
  </si>
  <si>
    <t>This calculator estimates the cost to decommission and rehabilitate renewable energy projects and includes modules for utility scale PV solar, wind farms, battery energy storage systems (BESS), and green and blue hydrogen facilities. 
The calculator uses a first-principle, botttom calculation method with costs and scopes informed by industry and the calculator developer's experience.
The calculator was commissioned by the South Australian Department for Energy and Mining (DEM).
The developers and DEM hold no liability for the accuracy of the costs estimates and the Calculator does not purport to contain all the information required to estimate the decommissioning liability.</t>
  </si>
  <si>
    <t>Second complete draft to SA DEM.</t>
  </si>
  <si>
    <t>If you are adding multiple types of plants, continue onto the next input sheet (solar, wind, BESS, green H2, blue H2)</t>
  </si>
  <si>
    <t>Users can enter details for their own equipment in the Panels, Turbines, Batteries, Electrolysers sheets and these will</t>
  </si>
  <si>
    <t>e.g., Wind Turbine Selection</t>
  </si>
  <si>
    <t>.</t>
  </si>
  <si>
    <t>Minor edits including Terms and Conditions</t>
  </si>
  <si>
    <t>Horizontal, Steel wall, Skid base, Single skin, 0.1t</t>
  </si>
  <si>
    <t>Horizontal, Steel wall, Skid base, Single skin, 0.5t</t>
  </si>
  <si>
    <t>Horizontal, Steel wall, Skid base, Double skin, 1t</t>
  </si>
  <si>
    <t>Horizontal, Steel wall, Skid base, Double skin, 2t</t>
  </si>
  <si>
    <t>Horizontal, Steel wall, Skid base, Double skin, 5t</t>
  </si>
  <si>
    <t>Horizontal, Steel wall, Skid base, Double skin, 10t</t>
  </si>
  <si>
    <t>Horizontal, Steel wall, Skid base, Double skin, 20t</t>
  </si>
  <si>
    <t>Haul and unload solar panels &lt;=5 km</t>
  </si>
  <si>
    <t>Haul and unload solar panels &gt; 5 to &lt;= 10 km</t>
  </si>
  <si>
    <t>Haul and unload solar panels &gt; 10 to &lt;= 15 km</t>
  </si>
  <si>
    <t>Haul and unload solar panels &gt; 15 to &lt;= 20 km</t>
  </si>
  <si>
    <t>Haul and unload solar panels &gt; 20 to &lt;= 25 km</t>
  </si>
  <si>
    <t>Haul and unload solar panels &gt; 25 to &lt;= 30 km</t>
  </si>
  <si>
    <t>Haul and unload solar panels &gt; 30 to &lt;= 35 km</t>
  </si>
  <si>
    <t>Haul and unload solar panels &gt; 40 to &lt;= 45 km</t>
  </si>
  <si>
    <t>Haul and unload solar panels &gt; 45 to &lt;= 50 km</t>
  </si>
  <si>
    <t>Haul and unload solar panels &gt; 50 to &lt;= 60 km</t>
  </si>
  <si>
    <t>Haul and unload solar panels &gt; 70 to &lt;= 80 km</t>
  </si>
  <si>
    <t>Haul and unload solar panels &gt; 80 to &lt;= 90 km</t>
  </si>
  <si>
    <t>Haul and unload solar panels &gt; 90 to &lt;= 100 km</t>
  </si>
  <si>
    <t>Haul and unload solar panels &gt; 100 to &lt;= 150 km</t>
  </si>
  <si>
    <t>Haul and unload solar panels &gt; 150 to &lt;= 200 km</t>
  </si>
  <si>
    <t>Haul and unload solar panels &gt; 200 to &lt;= 250 km</t>
  </si>
  <si>
    <t>Haul and unload blades and hub &lt;=5 km</t>
  </si>
  <si>
    <t>Haul and unload blades and hub &gt; 5 to &lt;= 10 km</t>
  </si>
  <si>
    <t>Haul and unload blades and hub &gt; 10 to &lt;= 15 km</t>
  </si>
  <si>
    <t>Haul and unload blades and hub &gt; 15 to &lt;= 20 km</t>
  </si>
  <si>
    <t>Haul and unload blades and hub &gt; 20 to &lt;= 25 km</t>
  </si>
  <si>
    <t>Haul and unload blades and hub &gt; 25 to &lt;= 30 km</t>
  </si>
  <si>
    <t>Haul and unload blades and hub &gt; 30 to &lt;= 35 km</t>
  </si>
  <si>
    <t>Haul and unload blades and hub &gt; 35 to &lt;= 40 km</t>
  </si>
  <si>
    <t>Haul and unload blades and hub &gt; 40 to &lt;= 45 km</t>
  </si>
  <si>
    <t>Haul and unload blades and hub &gt; 50 to &lt;= 60 km</t>
  </si>
  <si>
    <t>Haul and unload blades and hub &gt; 60 to &lt;= 70 km</t>
  </si>
  <si>
    <t>Haul and unload blades and hub &gt; 70 to &lt;= 80 km</t>
  </si>
  <si>
    <t>Haul and unload blades and hub &gt; 80 to &lt;= 90 km</t>
  </si>
  <si>
    <t>Haul and unload blades and hub &gt; 90 to &lt;= 100 km</t>
  </si>
  <si>
    <t>Haul and unload blades and hub &gt; 100 to &lt;= 150 km</t>
  </si>
  <si>
    <t>Haul and unload blades and hub &gt; 150 to &lt;= 200 km</t>
  </si>
  <si>
    <t>Haul and unload blades and hub &gt; 200 to &lt;= 250 km</t>
  </si>
  <si>
    <t>Haul and unload blades and hub &gt; 250 km</t>
  </si>
  <si>
    <t>Haul and unload nacelles &lt;=5 km</t>
  </si>
  <si>
    <t>Haul and unload nacelles &gt; 5 to &lt;= 10 km</t>
  </si>
  <si>
    <t>Haul and unload nacelles &gt; 10 to &lt;= 15 km</t>
  </si>
  <si>
    <t>Haul and unload nacelles &gt; 15 to &lt;= 20 km</t>
  </si>
  <si>
    <t>Haul and unload nacelles &gt; 20 to &lt;= 25 km</t>
  </si>
  <si>
    <t>Haul and unload nacelles &gt; 30 to &lt;= 35 km</t>
  </si>
  <si>
    <t>Haul and unload nacelles &gt; 35 to &lt;= 40 km</t>
  </si>
  <si>
    <t>Haul and unload nacelles &gt; 40 to &lt;= 45 km</t>
  </si>
  <si>
    <t>Haul and unload nacelles &gt; 45 to &lt;= 50 km</t>
  </si>
  <si>
    <t>Haul and unload nacelles &gt; 50 to &lt;= 60 km</t>
  </si>
  <si>
    <t>Haul and unload nacelles &gt; 60 to &lt;= 70 km</t>
  </si>
  <si>
    <t>Haul and unload nacelles &gt; 70 to &lt;= 80 km</t>
  </si>
  <si>
    <t>Haul and unload nacelles &gt; 80 to &lt;= 90 km</t>
  </si>
  <si>
    <t>Haul and unload nacelles &gt; 90 to &lt;= 100 km</t>
  </si>
  <si>
    <t>Haul and unload nacelles &gt; 100 to &lt;= 150 km</t>
  </si>
  <si>
    <t>Haul and unload nacelles &gt; 150 to &lt;= 200 km</t>
  </si>
  <si>
    <t>Haul and unload nacelles &gt; 200 to &lt;= 250 km</t>
  </si>
  <si>
    <t>Haul and unload nacelles &gt; 250 km</t>
  </si>
  <si>
    <t>Haul and unload towers &lt;=5 km</t>
  </si>
  <si>
    <t>Haul and unload towers &gt; 5 to &lt;= 10 km</t>
  </si>
  <si>
    <t>Haul and unload towers &gt; 10 to &lt;= 15 km</t>
  </si>
  <si>
    <t>Haul and unload towers &gt; 15 to &lt;= 20 km</t>
  </si>
  <si>
    <t>Haul and unload towers &gt; 20 to &lt;= 25 km</t>
  </si>
  <si>
    <t>Haul and unload towers &gt; 25 to &lt;= 30 km</t>
  </si>
  <si>
    <t>Haul and unload towers &gt; 35 to &lt;= 40 km</t>
  </si>
  <si>
    <t>Haul and unload towers &gt; 40 to &lt;= 45 km</t>
  </si>
  <si>
    <t>Haul and unload towers &gt; 45 to &lt;= 50 km</t>
  </si>
  <si>
    <t>Haul and unload towers &gt; 50 to &lt;= 60 km</t>
  </si>
  <si>
    <t>Haul and unload towers &gt; 60 to &lt;= 70 km</t>
  </si>
  <si>
    <t>Haul and unload towers &gt; 70 to &lt;= 80 km</t>
  </si>
  <si>
    <t>Haul and unload towers &gt; 80 to &lt;= 90 km</t>
  </si>
  <si>
    <t>Haul and unload towers &gt; 90 to &lt;= 100 km</t>
  </si>
  <si>
    <t>Haul and unload towers &gt; 100 to &lt;= 150 km</t>
  </si>
  <si>
    <t>Haul and unload towers &gt; 150 to &lt;= 200 km</t>
  </si>
  <si>
    <t>Haul and unload towers &gt; 200 to &lt;= 250 km</t>
  </si>
  <si>
    <t>Haul and unload towers &gt; 250 km</t>
  </si>
  <si>
    <t>Haul and unload copper cables &lt;=5 km</t>
  </si>
  <si>
    <t>Haul and unload copper cables &gt; 5 to &lt;= 10 km</t>
  </si>
  <si>
    <t>Haul and unload copper cables &gt; 15 to &lt;= 20 km</t>
  </si>
  <si>
    <t>Haul and unload copper cables &gt; 20 to &lt;= 25 km</t>
  </si>
  <si>
    <t>Haul and unload copper cables &gt; 25 to &lt;= 30 km</t>
  </si>
  <si>
    <t>Haul and unload copper cables &gt; 30 to &lt;= 35 km</t>
  </si>
  <si>
    <t>Haul and unload copper cables &gt; 35 to &lt;= 40 km</t>
  </si>
  <si>
    <t>Haul and unload copper cables &gt; 40 to &lt;= 45 km</t>
  </si>
  <si>
    <t>Haul and unload copper cables &gt; 45 to &lt;= 50 km</t>
  </si>
  <si>
    <t>Haul and unload copper cables &gt; 50 to &lt;= 60 km</t>
  </si>
  <si>
    <t>Haul and unload copper cables &gt; 60 to &lt;= 70 km</t>
  </si>
  <si>
    <t>Haul and unload copper cables &gt; 70 to &lt;= 80 km</t>
  </si>
  <si>
    <t>Haul and unload copper cables &gt; 80 to &lt;= 90 km</t>
  </si>
  <si>
    <t>Haul and unload copper cables &gt; 90 to &lt;= 100 km</t>
  </si>
  <si>
    <t>Haul and unload copper cables &gt; 100 to &lt;= 150 km</t>
  </si>
  <si>
    <t>Haul and unload copper cables &gt; 150 to &lt;= 200 km</t>
  </si>
  <si>
    <t>Haul and unload copper cables &gt; 200 to &lt;= 250 km</t>
  </si>
  <si>
    <t>Haul and unload copper cables &gt; 250 km</t>
  </si>
  <si>
    <t>Haul and unload cable drums &lt;=5 km</t>
  </si>
  <si>
    <t>Haul and unload cable drums &gt; 5 to &lt;= 10 km</t>
  </si>
  <si>
    <t>Haul and unload cable drums &gt; 15 to &lt;= 20 km</t>
  </si>
  <si>
    <t>Haul and unload cable drums &gt; 20 to &lt;= 25 km</t>
  </si>
  <si>
    <t>Haul and unload cable drums &gt; 25 to &lt;= 30 km</t>
  </si>
  <si>
    <t>Haul and unload cable drums &gt; 30 to &lt;= 35 km</t>
  </si>
  <si>
    <t>Haul and unload cable drums &gt; 35 to &lt;= 40 km</t>
  </si>
  <si>
    <t>Haul and unload cable drums &gt; 40 to &lt;= 45 km</t>
  </si>
  <si>
    <t>Haul and unload cable drums &gt; 45 to &lt;= 50 km</t>
  </si>
  <si>
    <t>Haul and unload cable drums &gt; 50 to &lt;= 60 km</t>
  </si>
  <si>
    <t>Haul and unload cable drums &gt; 60 to &lt;= 70 km</t>
  </si>
  <si>
    <t>Haul and unload cable drums &gt; 70 to &lt;= 80 km</t>
  </si>
  <si>
    <t>Haul and unload cable drums &gt; 80 to &lt;= 90 km</t>
  </si>
  <si>
    <t>Haul and unload cable drums &gt; 90 to &lt;= 100 km</t>
  </si>
  <si>
    <t>Haul and unload cable drums &gt; 100 to &lt;= 150 km</t>
  </si>
  <si>
    <t>Haul and unload cable drums &gt; 150 to &lt;= 200 km</t>
  </si>
  <si>
    <t>Haul and unload cable drums &gt; 200 to &lt;= 250 km</t>
  </si>
  <si>
    <t>Haul and unload cable drums &gt; 250 km</t>
  </si>
  <si>
    <t>Load, Haul, Dump Soil / Growth Media around Site (small fleet) ≤ 200 m</t>
  </si>
  <si>
    <t>Load, Haul, Dump Soil / Growth Media around Site (small fleet) &gt;200 m to ≤500 m</t>
  </si>
  <si>
    <t>Load, Haul, Dump Soil / Growth Media around Site (small fleet) &gt;1500 m to ≤2000 m</t>
  </si>
  <si>
    <t>Load, Haul, Dump Soil / Growth Media around Site (small fleet) &gt;2000 m to ≤2500 m</t>
  </si>
  <si>
    <t>Load, Haul, Dump Soil / Growth Media around Site (small fleet) &gt;2500 m to ≤3000 m</t>
  </si>
  <si>
    <t>Load, Haul, Dump Soil / Growth Media around Site (small fleet) &gt;3000 m to ≤4000 m</t>
  </si>
  <si>
    <t>Load, Haul, Dump Soil / Growth Media around Site (small fleet) &gt;4000 m to ≤5000 m</t>
  </si>
  <si>
    <t>Load, Haul, Dump Soil / Growth Media around Site (small fleet) &gt;5000 m to ≤6000 m</t>
  </si>
  <si>
    <t>Load, Haul, Dump Bitumen / Concrete / Stabilised Materials around Site (small fleet) &gt;1000 m to ≤1500 m</t>
  </si>
  <si>
    <t>Load, Haul, Dump Bitumen / Concrete / Stabilised Materials around Site (small fleet) &gt;2000 m to ≤2500 m</t>
  </si>
  <si>
    <t>Load, Haul, Dump Bitumen / Concrete / Stabilised Materials around Site (small fleet) &gt;2500 m to ≤3000 m</t>
  </si>
  <si>
    <t>Load, Haul, Dump Bitumen / Concrete / Stabilised Materials around Site (small fleet) &gt;3000 m to ≤4000 m</t>
  </si>
  <si>
    <t>Load, Haul, Dump Bitumen / Concrete / Stabilised Materials around Site (small fleet) &gt;4000 m to ≤5000 m</t>
  </si>
  <si>
    <t>Load, Haul, Dump Bitumen / Concrete / Stabilised Materials around Site (small fleet) &gt;5000 m to ≤6000 m</t>
  </si>
  <si>
    <t>Load, Haul, Dump Bitumen / Concrete / Stabilised Materials around Site (small fleet) &gt; 6000 m</t>
  </si>
  <si>
    <t>Load, Haul, Dump soil / ameliorants from off-site &lt;=5 km</t>
  </si>
  <si>
    <t>Load, Haul, Dump soil / ameliorants from off-site &gt; 5 to &lt;= 10 km</t>
  </si>
  <si>
    <t>Load, Haul, Dump soil / ameliorants from off-site &gt; 15 to &lt;= 20 km</t>
  </si>
  <si>
    <t>Load, Haul, Dump soil / ameliorants from off-site &gt; 25 to &lt;= 30 km</t>
  </si>
  <si>
    <t>Load, Haul, Dump soil / ameliorants from off-site &gt; 30 to &lt;= 35 km</t>
  </si>
  <si>
    <t>Load, Haul, Dump soil / ameliorants from off-site &gt; 35 to &lt;= 40 km</t>
  </si>
  <si>
    <t>Load, Haul, Dump soil / ameliorants from off-site &gt; 40 to &lt;= 45 km</t>
  </si>
  <si>
    <t>Load, Haul, Dump soil / ameliorants from off-site &gt; 45 to &lt;= 50 km</t>
  </si>
  <si>
    <t>Load, Haul, Dump soil / ameliorants from off-site &gt; 50 to &lt;= 60 km</t>
  </si>
  <si>
    <t>Load, Haul, Dump soil / ameliorants from off-site &gt; 60 to &lt;= 70 km</t>
  </si>
  <si>
    <t>Load, Haul, Dump soil / ameliorants from off-site &gt; 70 to &lt;= 80 km</t>
  </si>
  <si>
    <t>Load, Haul, Dump soil / ameliorants from off-site &gt; 80 to &lt;= 90 km</t>
  </si>
  <si>
    <t>Load, Haul, Dump soil / ameliorants from off-site &gt; 90 to &lt;= 100 km</t>
  </si>
  <si>
    <t>Load, Haul, Dump soil / ameliorants from off-site &gt; 100 to &lt;= 150 km</t>
  </si>
  <si>
    <t>Load, Haul, Dump soil / ameliorants from off-site &gt; 150 to &lt;= 200 km</t>
  </si>
  <si>
    <t>Load, Haul, Dump soil / ameliorants from off-site &gt; 200 to &lt;= 250 km</t>
  </si>
  <si>
    <t>Load, Haul, Dump soil / ameliorants from off-site &gt; 250 km</t>
  </si>
  <si>
    <t>Load, Haul, Dump Concrete Rubble from off-site &lt;=5 km</t>
  </si>
  <si>
    <t>Load, Haul, Dump Concrete Rubble from off-site &gt; 5 to &lt;= 10 km</t>
  </si>
  <si>
    <t>Load, Haul, Dump Concrete Rubble from off-site &gt; 20 to &lt;= 25 km</t>
  </si>
  <si>
    <t>Load, Haul, Dump Concrete Rubble from off-site &gt; 25 to &lt;= 30 km</t>
  </si>
  <si>
    <t>Load, Haul, Dump Concrete Rubble from off-site &gt; 30 to &lt;= 35 km</t>
  </si>
  <si>
    <t>Load, Haul, Dump Concrete Rubble from off-site &gt; 35 to &lt;= 40 km</t>
  </si>
  <si>
    <t>Load, Haul, Dump Concrete Rubble from off-site &gt; 45 to &lt;= 50 km</t>
  </si>
  <si>
    <t>Load, Haul, Dump Concrete Rubble from off-site &gt; 50 to &lt;= 60 km</t>
  </si>
  <si>
    <t>Load, Haul, Dump Concrete Rubble from off-site &gt; 60 to &lt;= 70 km</t>
  </si>
  <si>
    <t>Load, Haul, Dump Concrete Rubble from off-site &gt; 70 to &lt;= 80 km</t>
  </si>
  <si>
    <t>Load, Haul, Dump Concrete Rubble from off-site &gt; 80 to &lt;= 90 km</t>
  </si>
  <si>
    <t>Load, Haul, Dump Concrete Rubble from off-site &gt; 90 to &lt;= 100 km</t>
  </si>
  <si>
    <t>Load, Haul, Dump Concrete Rubble from off-site &gt; 100 to &lt;= 150 km</t>
  </si>
  <si>
    <t>Load, Haul, Dump Concrete Rubble from off-site &gt; 150 to &lt;= 200 km</t>
  </si>
  <si>
    <t>Load, Haul, Dump Concrete Rubble from off-site &gt; 200 to &lt;= 250 km</t>
  </si>
  <si>
    <t>Load, Haul, Dump Concrete Rubble from off-site &gt; 250 km</t>
  </si>
  <si>
    <t>Load, Haul, Dump Scrap Steel from off-site &lt;=5 km</t>
  </si>
  <si>
    <t>Load, Haul, Dump Scrap Steel from off-site &gt; 5 to &lt;= 10 km</t>
  </si>
  <si>
    <t>Load, Haul, Dump Scrap Steel from off-site &gt; 10 to &lt;= 15 km</t>
  </si>
  <si>
    <t>Load, Haul, Dump Scrap Steel from off-site &gt; 15 to &lt;= 20 km</t>
  </si>
  <si>
    <t>Load, Haul, Dump Scrap Steel from off-site &gt; 25 to &lt;= 30 km</t>
  </si>
  <si>
    <t>Load, Haul, Dump Scrap Steel from off-site &gt; 30 to &lt;= 35 km</t>
  </si>
  <si>
    <t>Load, Haul, Dump Scrap Steel from off-site &gt; 35 to &lt;= 40 km</t>
  </si>
  <si>
    <t>Load, Haul, Dump Scrap Steel from off-site &gt; 40 to &lt;= 45 km</t>
  </si>
  <si>
    <t>Load, Haul, Dump Scrap Steel from off-site &gt; 45 to &lt;= 50 km</t>
  </si>
  <si>
    <t>Load, Haul, Dump Scrap Steel from off-site &gt; 50 to &lt;= 60 km</t>
  </si>
  <si>
    <t>Load, Haul, Dump Scrap Steel from off-site &gt; 60 to &lt;= 70 km</t>
  </si>
  <si>
    <t>Load, Haul, Dump Scrap Steel from off-site &gt; 70 to &lt;= 80 km</t>
  </si>
  <si>
    <t>Load, Haul, Dump Scrap Steel from off-site &gt; 80 to &lt;= 90 km</t>
  </si>
  <si>
    <t>Load, Haul, Dump Scrap Steel from off-site &gt; 90 to &lt;= 100 km</t>
  </si>
  <si>
    <t>Load, Haul, Dump Scrap Steel from off-site &gt; 100 to &lt;= 150 km</t>
  </si>
  <si>
    <t>Load, Haul, Dump Scrap Steel from off-site &gt; 150 to &lt;= 200 km</t>
  </si>
  <si>
    <t>Load, Haul, Dump Scrap Steel from off-site &gt; 200 to &lt;= 250 km</t>
  </si>
  <si>
    <t>Load, Haul, Dump Scrap Steel from off-site &gt; 250 km</t>
  </si>
  <si>
    <t>Load, Haul, Dump Oil from off-site &lt;=5 km</t>
  </si>
  <si>
    <t>Load, Haul, Dump Oil from off-site &gt; 5 to &lt;= 10 km</t>
  </si>
  <si>
    <t>Load, Haul, Dump Oil from off-site &gt; 15 to &lt;= 20 km</t>
  </si>
  <si>
    <t>Load, Haul, Dump Oil from off-site &gt; 20 to &lt;= 25 km</t>
  </si>
  <si>
    <t>Load, Haul, Dump Oil from off-site &gt; 25 to &lt;= 30 km</t>
  </si>
  <si>
    <t>Load, Haul, Dump Oil from off-site &gt; 30 to &lt;= 35 km</t>
  </si>
  <si>
    <t>Load, Haul, Dump Oil from off-site &gt; 35 to &lt;= 40 km</t>
  </si>
  <si>
    <t>Load, Haul, Dump Oil from off-site &gt; 40 to &lt;= 45 km</t>
  </si>
  <si>
    <t>Load, Haul, Dump Oil from off-site &gt; 45 to &lt;= 50 km</t>
  </si>
  <si>
    <t>Load, Haul, Dump Oil from off-site &gt; 50 to &lt;= 60 km</t>
  </si>
  <si>
    <t>Load, Haul, Dump Oil from off-site &gt; 60 to &lt;= 70 km</t>
  </si>
  <si>
    <t>Load, Haul, Dump Oil from off-site &gt; 70 to &lt;= 80 km</t>
  </si>
  <si>
    <t>Load, Haul, Dump Oil from off-site &gt; 80 to &lt;= 90 km</t>
  </si>
  <si>
    <t>Load, Haul, Dump Oil from off-site &gt; 90 to &lt;= 100 km</t>
  </si>
  <si>
    <t>Load, Haul, Dump Oil from off-site &gt; 100 to &lt;= 150 km</t>
  </si>
  <si>
    <t>Load, Haul, Dump Oil from off-site &gt; 150 to &lt;= 200 km</t>
  </si>
  <si>
    <t>Load, Haul, Dump Oil from off-site &gt; 200 to &lt;= 250 km</t>
  </si>
  <si>
    <t>Load, Haul, Dump Oil from off-site &gt; 250 km</t>
  </si>
  <si>
    <t>Load, Haul, Dump Modules from off-site &lt;=5 km</t>
  </si>
  <si>
    <t>Load, Haul, Dump Modules from off-site &gt; 20 to &lt;= 25 km</t>
  </si>
  <si>
    <t>Load, Haul, Dump Modules from off-site &gt; 30 to &lt;= 35 km</t>
  </si>
  <si>
    <t>Load, Haul, Dump Modules from off-site &gt; 35 to &lt;= 40 km</t>
  </si>
  <si>
    <t>Load, Haul, Dump Modules from off-site &gt; 40 to &lt;= 45 km</t>
  </si>
  <si>
    <t>Load, Haul, Dump Modules from off-site &gt; 45 to &lt;= 50 km</t>
  </si>
  <si>
    <t>Load, Haul, Dump Modules from off-site &gt; 50 to &lt;= 60 km</t>
  </si>
  <si>
    <t>Load, Haul, Dump Modules from off-site &gt; 60 to &lt;= 70 km</t>
  </si>
  <si>
    <t>Load, Haul, Dump Modules from off-site &gt; 70 to &lt;= 80 km</t>
  </si>
  <si>
    <t>Load, Haul, Dump Modules from off-site &gt; 80 to &lt;= 90 km</t>
  </si>
  <si>
    <t>Load, Haul, Dump Modules from off-site &gt; 90 to &lt;= 100 km</t>
  </si>
  <si>
    <t>Load, Haul, Dump Modules from off-site &gt; 100 to &lt;= 150 km</t>
  </si>
  <si>
    <t>Load, Haul, Dump Modules from off-site &gt; 150 to &lt;= 200 km</t>
  </si>
  <si>
    <t>Load, Haul, Dump Modules from off-site &gt; 200 to &lt;= 250 km</t>
  </si>
  <si>
    <t>Load, Haul, Dump Modules from off-site &gt; 250 km</t>
  </si>
  <si>
    <t>Solar fleet &gt;150 &lt;= 500 km</t>
  </si>
  <si>
    <t>Solar fleet &gt;500 &lt;= 1000 km</t>
  </si>
  <si>
    <t>Solar fleet &lt;1000 km</t>
  </si>
  <si>
    <t>Wind fleet &gt;150 &lt;= 500 km</t>
  </si>
  <si>
    <t>Wind fleet &gt;500 &lt;= 1000 km</t>
  </si>
  <si>
    <t>Wind fleet &lt;1000 km</t>
  </si>
  <si>
    <t>BESS / H2 fleet &gt;150 &lt;= 500 km</t>
  </si>
  <si>
    <t>BESS / H2 fleet &gt;500 &lt;= 1000 km</t>
  </si>
  <si>
    <t>BESS / H2 fleet &lt;1000 km</t>
  </si>
  <si>
    <t>Electrical fleet &gt;500 &lt;= 1000 km</t>
  </si>
  <si>
    <t>Electrical fleet &lt;1000 km</t>
  </si>
  <si>
    <t>Land fleet &gt;500 &lt;= 1000 km</t>
  </si>
  <si>
    <t>Land fleet &lt;1000 km</t>
  </si>
  <si>
    <t>Add. Panels are disconnected electrically and mechanically, loaded and transported to a recycling facility.</t>
  </si>
  <si>
    <t>Remove and load rotor (blades/hub) - Small turbine</t>
  </si>
  <si>
    <t>Remove and load rotor (blades/hub) - Large turbine</t>
  </si>
  <si>
    <t>Remove blades from hub (all three) - Small turbine</t>
  </si>
  <si>
    <t>Remove blades from hub (all three) - Large turbine</t>
  </si>
  <si>
    <t>Remove nacelle  - Small turbine</t>
  </si>
  <si>
    <t>Remove nacelle  - Large turbine</t>
  </si>
  <si>
    <t>Remove tower - Small turbine</t>
  </si>
  <si>
    <t>Remove tower - Large turbine</t>
  </si>
  <si>
    <t>Foundation demolition - Small turbine</t>
  </si>
  <si>
    <t>Foundation demolition - Large turbine</t>
  </si>
  <si>
    <t>Foundation demolition - Anchor bolts removal</t>
  </si>
  <si>
    <t>Collapse turbine - Small turbine</t>
  </si>
  <si>
    <t>Demolition crew and support staff and explosives. Does not include planning and engineering nor cutting up demolished components or disposal</t>
  </si>
  <si>
    <t>Collapse turbine - Large turbine</t>
  </si>
  <si>
    <t>Dismantle and cut up collapsed turbine on ground - Small turbine</t>
  </si>
  <si>
    <t>Dismantle and cut up collapsed turbine on ground - Large turbine</t>
  </si>
  <si>
    <t>≤ 20m push</t>
  </si>
  <si>
    <t>&gt; 20m to ≤ 50m push</t>
  </si>
  <si>
    <t>&gt; 50m to ≤ 75m push</t>
  </si>
  <si>
    <t>&gt; 75m to ≤ 100m push</t>
  </si>
  <si>
    <t>&gt; 100m to ≤ 125m push</t>
  </si>
  <si>
    <t>&gt; 125m to ≤ 150m push</t>
  </si>
  <si>
    <t>&gt; 150m to ≤ 200m push</t>
  </si>
  <si>
    <t>&gt; 200m to ≤ 250m push</t>
  </si>
  <si>
    <t>&gt; 250m to ≤ 300m push</t>
  </si>
  <si>
    <t>&gt; 300m to ≤ 350m push</t>
  </si>
  <si>
    <t>&gt; 350m to ≤ 400m push</t>
  </si>
  <si>
    <t>&gt; 400m to ≤ 450m push</t>
  </si>
  <si>
    <t>&gt; 450m to ≤ 500m push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</si>
</sst>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_(&quot;$&quot;* #,##0.00_);_(&quot;$&quot;* \(#,##0.00\);_(&quot;$&quot;* &quot;-&quot;??_);_(@_)"/>
    <numFmt numFmtId="165" formatCode="_(* #,##0.00_);_(* \(#,##0.00\);_(* &quot;-&quot;??_);_(@_)"/>
    <numFmt numFmtId="166" formatCode="0.0%"/>
    <numFmt numFmtId="167" formatCode="_-* #,##0_-;\-* #,##0_-;_-* &quot;-&quot;??_-;_-@_-"/>
    <numFmt numFmtId="168" formatCode="0.0"/>
    <numFmt numFmtId="169" formatCode="_-&quot;$&quot;* #,##0_-;\-&quot;$&quot;* #,##0_-;_-&quot;$&quot;* &quot;-&quot;??_-;_-@_-"/>
    <numFmt numFmtId="170" formatCode="_-* #,##0.0_-;\-* #,##0.0_-;_-* &quot;-&quot;??_-;_-@_-"/>
    <numFmt numFmtId="171" formatCode="_([$$-409]* #,##0.00_);_([$$-409]* \(#,##0.00\);_([$$-409]* &quot;-&quot;??_);_(@_)"/>
    <numFmt numFmtId="172" formatCode="[$-C09]dd\-mmm\-yy;@"/>
    <numFmt numFmtId="173" formatCode="#,##0.0"/>
    <numFmt numFmtId="174" formatCode="_-&quot;$&quot;* #,##0.0_-;\-&quot;$&quot;* #,##0.0_-;_-&quot;$&quot;* &quot;-&quot;??_-;_-@_-"/>
    <numFmt numFmtId="175" formatCode="0.00000"/>
    <numFmt numFmtId="176" formatCode="0.0000"/>
  </numFmts>
  <fonts count="37">
    <font>
      <sz val="11"/>
      <color theme="1"/>
      <name val="Calibri"/>
      <family val="2"/>
      <scheme val="minor"/>
    </font>
    <font>
      <sz val="11"/>
      <color theme="1"/>
      <name val="Calibri"/>
      <family val="2"/>
      <scheme val="minor"/>
    </font>
    <font>
      <b/>
      <sz val="11"/>
      <color rgb="FF3F3F3F"/>
      <name val="Calibri"/>
      <family val="2"/>
      <scheme val="minor"/>
    </font>
    <font>
      <b/>
      <sz val="11"/>
      <color theme="0"/>
      <name val="Calibri"/>
      <family val="2"/>
      <scheme val="minor"/>
    </font>
    <font>
      <b/>
      <sz val="11"/>
      <color theme="1"/>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8"/>
      <name val="Calibri"/>
      <family val="2"/>
      <scheme val="minor"/>
    </font>
    <font>
      <u/>
      <sz val="11"/>
      <color theme="10"/>
      <name val="Calibri"/>
      <family val="2"/>
      <scheme val="minor"/>
    </font>
    <font>
      <sz val="10"/>
      <color theme="1"/>
      <name val="Poppins regular"/>
    </font>
    <font>
      <b/>
      <sz val="10"/>
      <color theme="1"/>
      <name val="Poppins regular"/>
    </font>
    <font>
      <b/>
      <i/>
      <sz val="10"/>
      <color theme="1"/>
      <name val="Poppins regular"/>
    </font>
    <font>
      <b/>
      <sz val="10"/>
      <color theme="0"/>
      <name val="Poppins regular"/>
    </font>
    <font>
      <b/>
      <i/>
      <sz val="10"/>
      <name val="Poppins regular"/>
    </font>
    <font>
      <b/>
      <sz val="10"/>
      <name val="Poppins regular"/>
    </font>
    <font>
      <sz val="10"/>
      <name val="Poppins regular"/>
    </font>
    <font>
      <b/>
      <sz val="10"/>
      <color rgb="FF3F3F3F"/>
      <name val="Poppins regular"/>
    </font>
    <font>
      <i/>
      <sz val="10"/>
      <color theme="1"/>
      <name val="Poppins regular"/>
    </font>
    <font>
      <sz val="10"/>
      <color rgb="FFFA7D00"/>
      <name val="Poppins regular"/>
    </font>
    <font>
      <b/>
      <sz val="10"/>
      <color rgb="FFFA7D00"/>
      <name val="Poppins regular"/>
    </font>
    <font>
      <i/>
      <sz val="10"/>
      <name val="Poppins regular"/>
    </font>
    <font>
      <sz val="10"/>
      <color theme="3"/>
      <name val="Poppins regular"/>
    </font>
    <font>
      <sz val="10"/>
      <color rgb="FF3F3F76"/>
      <name val="Poppins regular"/>
    </font>
    <font>
      <sz val="10"/>
      <color rgb="FF3F3F3F"/>
      <name val="Poppins regular"/>
    </font>
    <font>
      <sz val="10"/>
      <color rgb="FFFF0000"/>
      <name val="Poppins regular"/>
    </font>
    <font>
      <u/>
      <sz val="10"/>
      <color theme="10"/>
      <name val="Poppins regular"/>
    </font>
    <font>
      <vertAlign val="superscript"/>
      <sz val="10"/>
      <color theme="1"/>
      <name val="Poppins regular"/>
    </font>
    <font>
      <i/>
      <sz val="10"/>
      <color rgb="FFFF0000"/>
      <name val="Poppins regular"/>
    </font>
    <font>
      <b/>
      <sz val="10"/>
      <color theme="3"/>
      <name val="Poppins regular"/>
    </font>
    <font>
      <sz val="10"/>
      <color rgb="FF9C0006"/>
      <name val="Poppins regular"/>
    </font>
    <font>
      <b/>
      <sz val="11"/>
      <color theme="3"/>
      <name val="Calibri"/>
      <family val="2"/>
      <scheme val="minor"/>
    </font>
    <font>
      <sz val="10"/>
      <name val="Arial"/>
      <family val="2"/>
    </font>
    <font>
      <sz val="11"/>
      <color rgb="FF9C0006"/>
      <name val="Calibri"/>
      <family val="2"/>
      <scheme val="minor"/>
    </font>
    <font>
      <sz val="10"/>
      <color theme="0"/>
      <name val="Poppins regular"/>
    </font>
    <font>
      <u/>
      <sz val="10"/>
      <color theme="1"/>
      <name val="Poppins regular"/>
    </font>
    <font>
      <b/>
      <i/>
      <sz val="10"/>
      <color theme="0"/>
      <name val="Poppins regular"/>
    </font>
  </fonts>
  <fills count="16">
    <fill>
      <patternFill patternType="none"/>
    </fill>
    <fill>
      <patternFill patternType="gray125"/>
    </fill>
    <fill>
      <patternFill patternType="solid">
        <fgColor rgb="FFF2F2F2"/>
      </patternFill>
    </fill>
    <fill>
      <patternFill patternType="solid">
        <fgColor rgb="FFFFFFCC"/>
      </patternFill>
    </fill>
    <fill>
      <patternFill patternType="solid">
        <fgColor theme="1"/>
        <bgColor indexed="64"/>
      </patternFill>
    </fill>
    <fill>
      <patternFill patternType="solid">
        <fgColor rgb="FFFFCC99"/>
      </patternFill>
    </fill>
    <fill>
      <patternFill patternType="solid">
        <fgColor rgb="FFA5A5A5"/>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bgColor indexed="64"/>
      </patternFill>
    </fill>
    <fill>
      <patternFill patternType="solid">
        <fgColor rgb="FFF2F2F2"/>
        <bgColor indexed="64"/>
      </patternFill>
    </fill>
    <fill>
      <patternFill patternType="solid">
        <fgColor rgb="FFFFC7CE"/>
      </patternFill>
    </fill>
    <fill>
      <patternFill patternType="solid">
        <fgColor theme="2" tint="-9.9978637043366805E-2"/>
        <bgColor indexed="64"/>
      </patternFill>
    </fill>
    <fill>
      <patternFill patternType="solid">
        <fgColor theme="2"/>
        <bgColor indexed="64"/>
      </patternFill>
    </fill>
    <fill>
      <patternFill patternType="solid">
        <fgColor rgb="FF010847"/>
        <bgColor indexed="64"/>
      </patternFill>
    </fill>
    <fill>
      <patternFill patternType="solid">
        <fgColor rgb="FF01AF81"/>
        <bgColor indexed="64"/>
      </patternFill>
    </fill>
  </fills>
  <borders count="44">
    <border>
      <left/>
      <right/>
      <top/>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medium">
        <color indexed="64"/>
      </left>
      <right style="medium">
        <color indexed="64"/>
      </right>
      <top style="medium">
        <color indexed="64"/>
      </top>
      <bottom/>
      <diagonal/>
    </border>
    <border>
      <left style="thin">
        <color rgb="FFB2B2B2"/>
      </left>
      <right/>
      <top style="thin">
        <color rgb="FFB2B2B2"/>
      </top>
      <bottom style="thin">
        <color rgb="FFB2B2B2"/>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right style="thin">
        <color rgb="FFB2B2B2"/>
      </right>
      <top style="thin">
        <color rgb="FFB2B2B2"/>
      </top>
      <bottom style="thin">
        <color rgb="FFB2B2B2"/>
      </bottom>
      <diagonal/>
    </border>
    <border>
      <left/>
      <right style="thin">
        <color theme="2" tint="-0.24994659260841701"/>
      </right>
      <top style="thin">
        <color theme="2" tint="-0.24994659260841701"/>
      </top>
      <bottom style="thin">
        <color theme="2" tint="-0.24994659260841701"/>
      </bottom>
      <diagonal/>
    </border>
    <border>
      <left style="thin">
        <color theme="2" tint="-9.9978637043366805E-2"/>
      </left>
      <right/>
      <top/>
      <bottom/>
      <diagonal/>
    </border>
    <border>
      <left style="thin">
        <color theme="4"/>
      </left>
      <right style="thin">
        <color theme="4"/>
      </right>
      <top style="thin">
        <color theme="4"/>
      </top>
      <bottom style="thin">
        <color theme="4"/>
      </bottom>
      <diagonal/>
    </border>
    <border>
      <left/>
      <right/>
      <top style="thin">
        <color theme="0" tint="-0.249977111117893"/>
      </top>
      <bottom style="thin">
        <color theme="0" tint="-0.249977111117893"/>
      </bottom>
      <diagonal/>
    </border>
    <border>
      <left style="thin">
        <color rgb="FFB2B2B2"/>
      </left>
      <right style="thin">
        <color rgb="FFB2B2B2"/>
      </right>
      <top/>
      <bottom style="thin">
        <color rgb="FFB2B2B2"/>
      </bottom>
      <diagonal/>
    </border>
    <border>
      <left/>
      <right/>
      <top/>
      <bottom style="thin">
        <color theme="0" tint="-0.249977111117893"/>
      </bottom>
      <diagonal/>
    </border>
    <border>
      <left style="thin">
        <color rgb="FFB2B2B2"/>
      </left>
      <right style="thin">
        <color theme="0" tint="-0.249977111117893"/>
      </right>
      <top/>
      <bottom style="thin">
        <color rgb="FFB2B2B2"/>
      </bottom>
      <diagonal/>
    </border>
    <border>
      <left style="thin">
        <color rgb="FFB2B2B2"/>
      </left>
      <right style="thin">
        <color theme="0" tint="-0.249977111117893"/>
      </right>
      <top style="thin">
        <color rgb="FFB2B2B2"/>
      </top>
      <bottom style="thin">
        <color theme="0" tint="-0.249977111117893"/>
      </bottom>
      <diagonal/>
    </border>
    <border>
      <left style="thin">
        <color theme="0" tint="-0.249977111117893"/>
      </left>
      <right style="thin">
        <color theme="0" tint="-0.249977111117893"/>
      </right>
      <top style="thin">
        <color rgb="FFB2B2B2"/>
      </top>
      <bottom style="thin">
        <color rgb="FFB2B2B2"/>
      </bottom>
      <diagonal/>
    </border>
    <border>
      <left style="thin">
        <color rgb="FFB2B2B2"/>
      </left>
      <right style="thin">
        <color rgb="FFB2B2B2"/>
      </right>
      <top style="thin">
        <color rgb="FFB2B2B2"/>
      </top>
      <bottom/>
      <diagonal/>
    </border>
    <border>
      <left style="thin">
        <color theme="0" tint="-0.249977111117893"/>
      </left>
      <right style="thin">
        <color theme="0" tint="-0.249977111117893"/>
      </right>
      <top style="thin">
        <color theme="0" tint="-0.249977111117893"/>
      </top>
      <bottom style="thin">
        <color rgb="FFB2B2B2"/>
      </bottom>
      <diagonal/>
    </border>
    <border>
      <left style="thin">
        <color theme="0" tint="-0.249977111117893"/>
      </left>
      <right style="thin">
        <color theme="0" tint="-0.249977111117893"/>
      </right>
      <top style="thin">
        <color rgb="FFB2B2B2"/>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indexed="64"/>
      </top>
      <bottom style="thin">
        <color indexed="64"/>
      </bottom>
      <diagonal/>
    </border>
    <border>
      <left/>
      <right/>
      <top/>
      <bottom style="thin">
        <color auto="1"/>
      </bottom>
      <diagonal/>
    </border>
    <border>
      <left style="thin">
        <color theme="2" tint="-0.24994659260841701"/>
      </left>
      <right/>
      <top style="thin">
        <color theme="2" tint="-0.24994659260841701"/>
      </top>
      <bottom style="thin">
        <color theme="2" tint="-0.24994659260841701"/>
      </bottom>
      <diagonal/>
    </border>
    <border>
      <left style="medium">
        <color indexed="64"/>
      </left>
      <right style="medium">
        <color indexed="64"/>
      </right>
      <top/>
      <bottom/>
      <diagonal/>
    </border>
    <border>
      <left style="medium">
        <color indexed="64"/>
      </left>
      <right style="medium">
        <color indexed="64"/>
      </right>
      <top style="thin">
        <color theme="2" tint="-0.24994659260841701"/>
      </top>
      <bottom style="thin">
        <color theme="2" tint="-0.24994659260841701"/>
      </bottom>
      <diagonal/>
    </border>
    <border>
      <left style="medium">
        <color indexed="64"/>
      </left>
      <right style="medium">
        <color indexed="64"/>
      </right>
      <top style="double">
        <color rgb="FF3F3F3F"/>
      </top>
      <bottom style="double">
        <color rgb="FF3F3F3F"/>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auto="1"/>
      </left>
      <right style="medium">
        <color auto="1"/>
      </right>
      <top style="thin">
        <color auto="1"/>
      </top>
      <bottom style="thin">
        <color auto="1"/>
      </bottom>
      <diagonal/>
    </border>
    <border>
      <left/>
      <right/>
      <top/>
      <bottom style="dashed">
        <color auto="1"/>
      </bottom>
      <diagonal/>
    </border>
    <border>
      <left style="thin">
        <color theme="2" tint="-0.24994659260841701"/>
      </left>
      <right/>
      <top style="thin">
        <color indexed="64"/>
      </top>
      <bottom style="thin">
        <color theme="2" tint="-0.24994659260841701"/>
      </bottom>
      <diagonal/>
    </border>
    <border>
      <left style="medium">
        <color indexed="64"/>
      </left>
      <right style="medium">
        <color indexed="64"/>
      </right>
      <top/>
      <bottom style="thin">
        <color theme="2" tint="-0.24994659260841701"/>
      </bottom>
      <diagonal/>
    </border>
    <border>
      <left/>
      <right style="thin">
        <color theme="4"/>
      </right>
      <top/>
      <bottom/>
      <diagonal/>
    </border>
    <border>
      <left style="thin">
        <color theme="2" tint="-0.24994659260841701"/>
      </left>
      <right style="thin">
        <color theme="2" tint="-0.24994659260841701"/>
      </right>
      <top/>
      <bottom style="thin">
        <color theme="2" tint="-0.24994659260841701"/>
      </bottom>
      <diagonal/>
    </border>
    <border>
      <left style="thin">
        <color theme="2" tint="-0.24994659260841701"/>
      </left>
      <right/>
      <top/>
      <bottom style="thin">
        <color theme="2" tint="-0.24994659260841701"/>
      </bottom>
      <diagonal/>
    </border>
  </borders>
  <cellStyleXfs count="23">
    <xf numFmtId="0" fontId="0" fillId="0" borderId="0"/>
    <xf numFmtId="0" fontId="2" fillId="2" borderId="1" applyNumberFormat="0" applyAlignment="0" applyProtection="0"/>
    <xf numFmtId="0" fontId="1" fillId="3" borderId="2" applyNumberFormat="0" applyFont="0" applyAlignment="0" applyProtection="0"/>
    <xf numFmtId="0" fontId="5" fillId="5" borderId="3" applyNumberFormat="0" applyAlignment="0" applyProtection="0"/>
    <xf numFmtId="0" fontId="6" fillId="2" borderId="3" applyNumberFormat="0" applyAlignment="0" applyProtection="0"/>
    <xf numFmtId="0" fontId="7" fillId="0" borderId="4" applyNumberFormat="0" applyFill="0" applyAlignment="0" applyProtection="0"/>
    <xf numFmtId="0" fontId="3" fillId="6" borderId="5" applyNumberFormat="0" applyAlignment="0" applyProtection="0"/>
    <xf numFmtId="0" fontId="4" fillId="0" borderId="6" applyNumberFormat="0" applyFill="0" applyAlignment="0" applyProtection="0"/>
    <xf numFmtId="0" fontId="1" fillId="0" borderId="7"/>
    <xf numFmtId="0" fontId="4" fillId="0" borderId="8">
      <alignment horizontal="center" vertical="center" textRotation="90"/>
    </xf>
    <xf numFmtId="0" fontId="4" fillId="0" borderId="8">
      <alignment horizontal="center" vertical="center" textRotation="90"/>
    </xf>
    <xf numFmtId="165"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0" fontId="4" fillId="0" borderId="7">
      <alignment horizontal="center" vertical="center" wrapText="1"/>
    </xf>
    <xf numFmtId="0" fontId="4" fillId="0" borderId="0">
      <alignment horizontal="right"/>
    </xf>
    <xf numFmtId="0" fontId="9" fillId="0" borderId="0" applyNumberFormat="0" applyFill="0" applyBorder="0" applyAlignment="0" applyProtection="0"/>
    <xf numFmtId="0" fontId="1" fillId="0" borderId="0"/>
    <xf numFmtId="0" fontId="1" fillId="0" borderId="0"/>
    <xf numFmtId="9" fontId="32" fillId="0" borderId="0" applyFont="0" applyFill="0" applyBorder="0" applyAlignment="0" applyProtection="0"/>
    <xf numFmtId="0" fontId="33" fillId="11" borderId="0" applyNumberFormat="0" applyBorder="0" applyAlignment="0" applyProtection="0"/>
    <xf numFmtId="0" fontId="31" fillId="0" borderId="0" applyNumberFormat="0" applyFill="0" applyBorder="0" applyAlignment="0" applyProtection="0"/>
    <xf numFmtId="0" fontId="32" fillId="0" borderId="7">
      <alignment horizontal="center"/>
      <protection hidden="1"/>
    </xf>
  </cellStyleXfs>
  <cellXfs count="413">
    <xf numFmtId="0" fontId="0" fillId="0" borderId="0" xfId="0"/>
    <xf numFmtId="2" fontId="20" fillId="2" borderId="3" xfId="4" applyNumberFormat="1" applyFont="1" applyAlignment="1" applyProtection="1">
      <alignment vertical="center"/>
    </xf>
    <xf numFmtId="0" fontId="10" fillId="9" borderId="0" xfId="2" applyFont="1" applyFill="1" applyBorder="1" applyAlignment="1" applyProtection="1">
      <alignment vertical="center"/>
    </xf>
    <xf numFmtId="0" fontId="10" fillId="3" borderId="2" xfId="2" applyFont="1" applyAlignment="1" applyProtection="1">
      <alignment horizontal="left" vertical="top" wrapText="1"/>
    </xf>
    <xf numFmtId="0" fontId="26" fillId="9" borderId="7" xfId="16" applyFont="1" applyFill="1" applyBorder="1" applyProtection="1"/>
    <xf numFmtId="0" fontId="16" fillId="3" borderId="2" xfId="2" applyFont="1" applyProtection="1"/>
    <xf numFmtId="0" fontId="16" fillId="3" borderId="2" xfId="2" applyFont="1" applyAlignment="1" applyProtection="1">
      <alignment vertical="center"/>
    </xf>
    <xf numFmtId="172" fontId="16" fillId="3" borderId="2" xfId="2" applyNumberFormat="1" applyFont="1" applyAlignment="1" applyProtection="1">
      <alignment horizontal="left"/>
    </xf>
    <xf numFmtId="0" fontId="10" fillId="7" borderId="7" xfId="0" applyFont="1" applyFill="1" applyBorder="1" applyProtection="1">
      <protection locked="0"/>
    </xf>
    <xf numFmtId="0" fontId="10" fillId="7" borderId="7" xfId="0" applyFont="1" applyFill="1" applyBorder="1" applyAlignment="1" applyProtection="1">
      <alignment wrapText="1"/>
      <protection locked="0"/>
    </xf>
    <xf numFmtId="0" fontId="26" fillId="9" borderId="26" xfId="16" applyFont="1" applyFill="1" applyBorder="1" applyProtection="1"/>
    <xf numFmtId="0" fontId="26" fillId="0" borderId="0" xfId="16" applyFont="1" applyFill="1" applyProtection="1"/>
    <xf numFmtId="0" fontId="26" fillId="9" borderId="0" xfId="16" applyFont="1" applyFill="1" applyProtection="1"/>
    <xf numFmtId="0" fontId="26" fillId="9" borderId="0" xfId="16" applyFont="1" applyFill="1" applyAlignment="1" applyProtection="1">
      <alignment vertical="top"/>
    </xf>
    <xf numFmtId="0" fontId="10" fillId="3" borderId="2" xfId="2" applyFont="1" applyAlignment="1" applyProtection="1">
      <alignment vertical="center"/>
    </xf>
    <xf numFmtId="167" fontId="10" fillId="0" borderId="10" xfId="11" applyNumberFormat="1" applyFont="1" applyBorder="1" applyAlignment="1" applyProtection="1">
      <alignment vertical="center"/>
    </xf>
    <xf numFmtId="169" fontId="10" fillId="0" borderId="10" xfId="12" applyNumberFormat="1" applyFont="1" applyBorder="1" applyAlignment="1" applyProtection="1">
      <alignment vertical="center"/>
    </xf>
    <xf numFmtId="169" fontId="10" fillId="9" borderId="33" xfId="12" applyNumberFormat="1" applyFont="1" applyFill="1" applyBorder="1" applyAlignment="1" applyProtection="1">
      <alignment vertical="center"/>
    </xf>
    <xf numFmtId="0" fontId="10" fillId="3" borderId="16" xfId="2" applyFont="1" applyBorder="1" applyAlignment="1" applyProtection="1">
      <alignment vertical="center"/>
    </xf>
    <xf numFmtId="169" fontId="11" fillId="9" borderId="35" xfId="7" applyNumberFormat="1" applyFont="1" applyFill="1" applyBorder="1" applyAlignment="1" applyProtection="1">
      <alignment vertical="center"/>
    </xf>
    <xf numFmtId="169" fontId="10" fillId="9" borderId="37" xfId="7" applyNumberFormat="1" applyFont="1" applyFill="1" applyBorder="1" applyAlignment="1" applyProtection="1">
      <alignment vertical="center"/>
    </xf>
    <xf numFmtId="169" fontId="10" fillId="9" borderId="36" xfId="7" applyNumberFormat="1" applyFont="1" applyFill="1" applyBorder="1" applyAlignment="1" applyProtection="1">
      <alignment vertical="center"/>
    </xf>
    <xf numFmtId="167" fontId="10" fillId="0" borderId="0" xfId="11" applyNumberFormat="1" applyFont="1" applyBorder="1" applyAlignment="1" applyProtection="1">
      <alignment vertical="center"/>
    </xf>
    <xf numFmtId="164" fontId="10" fillId="0" borderId="10" xfId="12" applyFont="1" applyBorder="1" applyAlignment="1" applyProtection="1">
      <alignment vertical="center"/>
    </xf>
    <xf numFmtId="169" fontId="13" fillId="6" borderId="34" xfId="6" applyNumberFormat="1" applyFont="1" applyBorder="1" applyAlignment="1" applyProtection="1">
      <alignment vertical="center"/>
    </xf>
    <xf numFmtId="167" fontId="10" fillId="0" borderId="42" xfId="11" applyNumberFormat="1" applyFont="1" applyBorder="1" applyAlignment="1" applyProtection="1">
      <alignment vertical="center"/>
    </xf>
    <xf numFmtId="169" fontId="10" fillId="0" borderId="42" xfId="12" applyNumberFormat="1" applyFont="1" applyBorder="1" applyAlignment="1" applyProtection="1">
      <alignment vertical="center"/>
    </xf>
    <xf numFmtId="169" fontId="10" fillId="9" borderId="40" xfId="12" applyNumberFormat="1" applyFont="1" applyFill="1" applyBorder="1" applyAlignment="1" applyProtection="1">
      <alignment vertical="center"/>
    </xf>
    <xf numFmtId="167" fontId="10" fillId="0" borderId="39" xfId="11" applyNumberFormat="1" applyFont="1" applyBorder="1" applyAlignment="1" applyProtection="1">
      <alignment vertical="center"/>
    </xf>
    <xf numFmtId="164" fontId="10" fillId="9" borderId="10" xfId="12" applyFont="1" applyFill="1" applyBorder="1" applyAlignment="1" applyProtection="1">
      <alignment vertical="center"/>
    </xf>
    <xf numFmtId="170" fontId="10" fillId="0" borderId="10" xfId="11" applyNumberFormat="1" applyFont="1" applyBorder="1" applyAlignment="1" applyProtection="1">
      <alignment vertical="center"/>
    </xf>
    <xf numFmtId="169" fontId="11" fillId="9" borderId="35" xfId="12" applyNumberFormat="1" applyFont="1" applyFill="1" applyBorder="1" applyAlignment="1" applyProtection="1">
      <alignment vertical="center"/>
    </xf>
    <xf numFmtId="169" fontId="17" fillId="2" borderId="1" xfId="12" applyNumberFormat="1" applyFont="1" applyFill="1" applyBorder="1" applyProtection="1"/>
    <xf numFmtId="169" fontId="11" fillId="0" borderId="6" xfId="12" applyNumberFormat="1" applyFont="1" applyBorder="1" applyProtection="1"/>
    <xf numFmtId="169" fontId="13" fillId="6" borderId="5" xfId="6" applyNumberFormat="1" applyFont="1" applyAlignment="1" applyProtection="1">
      <alignment vertical="center"/>
    </xf>
    <xf numFmtId="169" fontId="17" fillId="2" borderId="1" xfId="1" applyNumberFormat="1" applyFont="1" applyAlignment="1" applyProtection="1">
      <alignment vertical="center"/>
    </xf>
    <xf numFmtId="0" fontId="26" fillId="9" borderId="7" xfId="16" applyFont="1" applyFill="1" applyBorder="1" applyAlignment="1" applyProtection="1">
      <alignment vertical="center"/>
    </xf>
    <xf numFmtId="0" fontId="10" fillId="3" borderId="9" xfId="2" applyFont="1" applyBorder="1" applyAlignment="1" applyProtection="1">
      <alignment vertical="center"/>
    </xf>
    <xf numFmtId="169" fontId="10" fillId="8" borderId="7" xfId="12" applyNumberFormat="1" applyFont="1" applyFill="1" applyBorder="1" applyAlignment="1" applyProtection="1">
      <alignment vertical="center"/>
    </xf>
    <xf numFmtId="169" fontId="10" fillId="0" borderId="7" xfId="12" applyNumberFormat="1" applyFont="1" applyBorder="1" applyAlignment="1" applyProtection="1">
      <alignment vertical="center"/>
    </xf>
    <xf numFmtId="169" fontId="17" fillId="0" borderId="1" xfId="12" applyNumberFormat="1" applyFont="1" applyFill="1" applyBorder="1" applyAlignment="1" applyProtection="1">
      <alignment vertical="center"/>
    </xf>
    <xf numFmtId="169" fontId="17" fillId="0" borderId="1" xfId="12" applyNumberFormat="1" applyFont="1" applyBorder="1" applyAlignment="1" applyProtection="1">
      <alignment vertical="center"/>
    </xf>
    <xf numFmtId="1" fontId="10" fillId="0" borderId="7" xfId="12" applyNumberFormat="1" applyFont="1" applyBorder="1" applyAlignment="1" applyProtection="1">
      <alignment vertical="center"/>
    </xf>
    <xf numFmtId="169" fontId="17" fillId="10" borderId="1" xfId="1" applyNumberFormat="1" applyFont="1" applyFill="1" applyAlignment="1" applyProtection="1">
      <alignment vertical="center"/>
    </xf>
    <xf numFmtId="49" fontId="28" fillId="0" borderId="7" xfId="11" applyNumberFormat="1" applyFont="1" applyFill="1" applyBorder="1" applyAlignment="1" applyProtection="1">
      <alignment horizontal="left" vertical="center" wrapText="1"/>
    </xf>
    <xf numFmtId="169" fontId="17" fillId="0" borderId="1" xfId="1" applyNumberFormat="1" applyFont="1" applyFill="1" applyAlignment="1" applyProtection="1">
      <alignment vertical="center"/>
    </xf>
    <xf numFmtId="2" fontId="10" fillId="9" borderId="7" xfId="11" applyNumberFormat="1" applyFont="1" applyFill="1" applyBorder="1" applyAlignment="1" applyProtection="1">
      <alignment vertical="center"/>
    </xf>
    <xf numFmtId="164" fontId="10" fillId="8" borderId="7" xfId="12" applyFont="1" applyFill="1" applyBorder="1" applyAlignment="1" applyProtection="1">
      <alignment vertical="center"/>
    </xf>
    <xf numFmtId="164" fontId="10" fillId="0" borderId="7" xfId="12" applyFont="1" applyBorder="1" applyAlignment="1" applyProtection="1">
      <alignment vertical="center"/>
    </xf>
    <xf numFmtId="164" fontId="17" fillId="0" borderId="1" xfId="1" applyNumberFormat="1" applyFont="1" applyFill="1" applyAlignment="1" applyProtection="1">
      <alignment vertical="center"/>
    </xf>
    <xf numFmtId="169" fontId="10" fillId="9" borderId="7" xfId="12" applyNumberFormat="1" applyFont="1" applyFill="1" applyBorder="1" applyAlignment="1" applyProtection="1">
      <alignment vertical="center"/>
    </xf>
    <xf numFmtId="169" fontId="17" fillId="9" borderId="1" xfId="1" applyNumberFormat="1" applyFont="1" applyFill="1" applyAlignment="1" applyProtection="1">
      <alignment vertical="center"/>
    </xf>
    <xf numFmtId="169" fontId="10" fillId="8" borderId="7" xfId="12" applyNumberFormat="1" applyFont="1" applyFill="1" applyBorder="1" applyAlignment="1" applyProtection="1">
      <alignment horizontal="left" vertical="center"/>
    </xf>
    <xf numFmtId="2" fontId="10" fillId="0" borderId="7" xfId="12" applyNumberFormat="1" applyFont="1" applyBorder="1" applyAlignment="1" applyProtection="1">
      <alignment vertical="center"/>
    </xf>
    <xf numFmtId="164" fontId="10" fillId="0" borderId="0" xfId="12" applyFont="1" applyBorder="1" applyAlignment="1" applyProtection="1">
      <alignment vertical="center"/>
    </xf>
    <xf numFmtId="4" fontId="10" fillId="0" borderId="7" xfId="11" applyNumberFormat="1" applyFont="1" applyFill="1" applyBorder="1" applyAlignment="1" applyProtection="1">
      <alignment vertical="center"/>
    </xf>
    <xf numFmtId="0" fontId="10" fillId="3" borderId="9" xfId="2" applyFont="1" applyBorder="1" applyAlignment="1" applyProtection="1">
      <alignment vertical="center" wrapText="1"/>
    </xf>
    <xf numFmtId="164" fontId="10" fillId="9" borderId="7" xfId="12" applyFont="1" applyFill="1" applyBorder="1" applyAlignment="1" applyProtection="1">
      <alignment vertical="center"/>
    </xf>
    <xf numFmtId="9" fontId="10" fillId="9" borderId="7" xfId="13" applyFont="1" applyFill="1" applyBorder="1" applyAlignment="1" applyProtection="1">
      <alignment vertical="center"/>
    </xf>
    <xf numFmtId="0" fontId="10" fillId="3" borderId="9" xfId="2" quotePrefix="1" applyFont="1" applyBorder="1" applyAlignment="1" applyProtection="1">
      <alignment vertical="center"/>
    </xf>
    <xf numFmtId="166" fontId="10" fillId="0" borderId="7" xfId="13" applyNumberFormat="1" applyFont="1" applyBorder="1" applyAlignment="1" applyProtection="1">
      <alignment horizontal="right" vertical="center"/>
    </xf>
    <xf numFmtId="165" fontId="19" fillId="0" borderId="4" xfId="11" applyFont="1" applyBorder="1" applyAlignment="1" applyProtection="1">
      <alignment horizontal="right" vertical="center"/>
    </xf>
    <xf numFmtId="2" fontId="19" fillId="0" borderId="4" xfId="5" applyNumberFormat="1" applyFont="1" applyAlignment="1" applyProtection="1">
      <alignment horizontal="right" vertical="center"/>
    </xf>
    <xf numFmtId="169" fontId="10" fillId="0" borderId="0" xfId="12" applyNumberFormat="1" applyFont="1" applyBorder="1" applyAlignment="1" applyProtection="1">
      <alignment vertical="center"/>
    </xf>
    <xf numFmtId="164" fontId="10" fillId="3" borderId="9" xfId="2" applyNumberFormat="1" applyFont="1" applyBorder="1" applyAlignment="1" applyProtection="1">
      <alignment vertical="center"/>
    </xf>
    <xf numFmtId="4" fontId="10" fillId="0" borderId="7" xfId="11" applyNumberFormat="1" applyFont="1" applyFill="1" applyBorder="1" applyAlignment="1" applyProtection="1">
      <alignment horizontal="right" vertical="center"/>
    </xf>
    <xf numFmtId="174" fontId="10" fillId="0" borderId="7" xfId="12" applyNumberFormat="1" applyFont="1" applyBorder="1" applyAlignment="1" applyProtection="1">
      <alignment vertical="center"/>
    </xf>
    <xf numFmtId="4" fontId="16" fillId="7" borderId="7" xfId="0" applyNumberFormat="1" applyFont="1" applyFill="1" applyBorder="1" applyAlignment="1" applyProtection="1">
      <alignment horizontal="right" vertical="center" wrapText="1"/>
      <protection locked="0"/>
    </xf>
    <xf numFmtId="0" fontId="16" fillId="7" borderId="7" xfId="0" applyFont="1" applyFill="1" applyBorder="1" applyAlignment="1" applyProtection="1">
      <alignment horizontal="center" vertical="center" wrapText="1"/>
      <protection locked="0"/>
    </xf>
    <xf numFmtId="3" fontId="16" fillId="7" borderId="7" xfId="0" applyNumberFormat="1" applyFont="1" applyFill="1" applyBorder="1" applyAlignment="1" applyProtection="1">
      <alignment horizontal="right" vertical="center" wrapText="1"/>
      <protection locked="0"/>
    </xf>
    <xf numFmtId="49" fontId="10" fillId="7" borderId="7" xfId="11" applyNumberFormat="1" applyFont="1" applyFill="1" applyBorder="1" applyAlignment="1" applyProtection="1">
      <alignment horizontal="left" vertical="center" wrapText="1"/>
      <protection locked="0"/>
    </xf>
    <xf numFmtId="1" fontId="16" fillId="7" borderId="7" xfId="0" applyNumberFormat="1" applyFont="1" applyFill="1" applyBorder="1" applyAlignment="1" applyProtection="1">
      <alignment horizontal="right" vertical="center" wrapText="1"/>
      <protection locked="0"/>
    </xf>
    <xf numFmtId="169" fontId="16" fillId="7" borderId="7" xfId="12" applyNumberFormat="1" applyFont="1" applyFill="1" applyBorder="1" applyAlignment="1" applyProtection="1">
      <alignment horizontal="right" vertical="center" wrapText="1"/>
      <protection locked="0"/>
    </xf>
    <xf numFmtId="49" fontId="10" fillId="7" borderId="7" xfId="11" applyNumberFormat="1" applyFont="1" applyFill="1" applyBorder="1" applyAlignment="1" applyProtection="1">
      <alignment horizontal="left" vertical="center"/>
      <protection locked="0"/>
    </xf>
    <xf numFmtId="0" fontId="16" fillId="7" borderId="7" xfId="0" applyFont="1" applyFill="1" applyBorder="1" applyAlignment="1" applyProtection="1">
      <alignment horizontal="left" vertical="center" wrapText="1"/>
      <protection locked="0"/>
    </xf>
    <xf numFmtId="2" fontId="16" fillId="7" borderId="7" xfId="0" applyNumberFormat="1" applyFont="1" applyFill="1" applyBorder="1" applyAlignment="1" applyProtection="1">
      <alignment horizontal="right" vertical="center" wrapText="1"/>
      <protection locked="0"/>
    </xf>
    <xf numFmtId="0" fontId="10" fillId="7" borderId="7" xfId="0" applyFont="1" applyFill="1" applyBorder="1" applyAlignment="1" applyProtection="1">
      <alignment vertical="center" wrapText="1"/>
      <protection locked="0"/>
    </xf>
    <xf numFmtId="0" fontId="10" fillId="7" borderId="7" xfId="0" applyFont="1" applyFill="1" applyBorder="1" applyAlignment="1" applyProtection="1">
      <alignment vertical="center"/>
      <protection locked="0"/>
    </xf>
    <xf numFmtId="0" fontId="16" fillId="7" borderId="7" xfId="0" applyFont="1" applyFill="1" applyBorder="1" applyAlignment="1" applyProtection="1">
      <alignment horizontal="left" vertical="center"/>
      <protection locked="0"/>
    </xf>
    <xf numFmtId="9" fontId="16" fillId="7" borderId="7" xfId="13" applyFont="1" applyFill="1" applyBorder="1" applyAlignment="1" applyProtection="1">
      <alignment horizontal="right" vertical="center" wrapText="1"/>
      <protection locked="0"/>
    </xf>
    <xf numFmtId="0" fontId="10" fillId="7" borderId="28" xfId="0" applyFont="1" applyFill="1" applyBorder="1" applyAlignment="1" applyProtection="1">
      <alignment vertical="center"/>
      <protection locked="0"/>
    </xf>
    <xf numFmtId="0" fontId="10" fillId="7" borderId="9" xfId="2" applyFont="1" applyFill="1" applyBorder="1" applyAlignment="1" applyProtection="1">
      <alignment vertical="center"/>
      <protection locked="0"/>
    </xf>
    <xf numFmtId="167" fontId="10" fillId="7" borderId="7" xfId="11" applyNumberFormat="1" applyFont="1" applyFill="1" applyBorder="1" applyAlignment="1" applyProtection="1">
      <alignment vertical="center"/>
      <protection locked="0"/>
    </xf>
    <xf numFmtId="165" fontId="10" fillId="7" borderId="7" xfId="11" applyFont="1" applyFill="1" applyBorder="1" applyAlignment="1" applyProtection="1">
      <alignment horizontal="left" vertical="center"/>
      <protection locked="0"/>
    </xf>
    <xf numFmtId="9" fontId="10" fillId="7" borderId="7" xfId="13" applyFont="1" applyFill="1" applyBorder="1" applyAlignment="1" applyProtection="1">
      <alignment horizontal="right" vertical="center"/>
      <protection locked="0"/>
    </xf>
    <xf numFmtId="164" fontId="16" fillId="7" borderId="7" xfId="12" applyFont="1" applyFill="1" applyBorder="1" applyAlignment="1" applyProtection="1">
      <alignment horizontal="right" vertical="center" wrapText="1"/>
      <protection locked="0"/>
    </xf>
    <xf numFmtId="164" fontId="10" fillId="7" borderId="7" xfId="12" applyFont="1" applyFill="1" applyBorder="1" applyAlignment="1" applyProtection="1">
      <alignment vertical="center"/>
      <protection locked="0"/>
    </xf>
    <xf numFmtId="4" fontId="10" fillId="7" borderId="7" xfId="0" applyNumberFormat="1" applyFont="1" applyFill="1" applyBorder="1" applyAlignment="1" applyProtection="1">
      <alignment horizontal="right" vertical="center"/>
      <protection locked="0"/>
    </xf>
    <xf numFmtId="2" fontId="10" fillId="0" borderId="7" xfId="11" applyNumberFormat="1" applyFont="1" applyFill="1" applyBorder="1" applyAlignment="1" applyProtection="1">
      <alignment vertical="center"/>
    </xf>
    <xf numFmtId="4" fontId="10" fillId="0" borderId="7" xfId="12" applyNumberFormat="1" applyFont="1" applyBorder="1" applyAlignment="1" applyProtection="1">
      <alignment vertical="center"/>
    </xf>
    <xf numFmtId="3" fontId="10" fillId="0" borderId="7" xfId="12" applyNumberFormat="1" applyFont="1" applyBorder="1" applyAlignment="1" applyProtection="1">
      <alignment vertical="center"/>
    </xf>
    <xf numFmtId="3" fontId="10" fillId="9" borderId="7" xfId="12" applyNumberFormat="1" applyFont="1" applyFill="1" applyBorder="1" applyAlignment="1" applyProtection="1">
      <alignment vertical="center"/>
    </xf>
    <xf numFmtId="1" fontId="10" fillId="0" borderId="7" xfId="11" applyNumberFormat="1" applyFont="1" applyFill="1" applyBorder="1" applyAlignment="1" applyProtection="1">
      <alignment vertical="center"/>
    </xf>
    <xf numFmtId="49" fontId="25" fillId="0" borderId="7" xfId="11" applyNumberFormat="1" applyFont="1" applyFill="1" applyBorder="1" applyAlignment="1" applyProtection="1">
      <alignment horizontal="left" vertical="center" wrapText="1"/>
    </xf>
    <xf numFmtId="166" fontId="10" fillId="9" borderId="7" xfId="13" applyNumberFormat="1" applyFont="1" applyFill="1" applyBorder="1" applyAlignment="1" applyProtection="1">
      <alignment horizontal="right" vertical="center"/>
    </xf>
    <xf numFmtId="4" fontId="10" fillId="9" borderId="7" xfId="11" applyNumberFormat="1" applyFont="1" applyFill="1" applyBorder="1" applyAlignment="1" applyProtection="1">
      <alignment horizontal="right" vertical="center"/>
    </xf>
    <xf numFmtId="169" fontId="10" fillId="0" borderId="25" xfId="12" applyNumberFormat="1" applyFont="1" applyBorder="1" applyAlignment="1" applyProtection="1">
      <alignment vertical="center"/>
    </xf>
    <xf numFmtId="4" fontId="10" fillId="7" borderId="7" xfId="11" applyNumberFormat="1" applyFont="1" applyFill="1" applyBorder="1" applyAlignment="1" applyProtection="1">
      <alignment horizontal="right" vertical="center"/>
      <protection locked="0"/>
    </xf>
    <xf numFmtId="1" fontId="10" fillId="7" borderId="7" xfId="11" applyNumberFormat="1" applyFont="1" applyFill="1" applyBorder="1" applyAlignment="1" applyProtection="1">
      <alignment horizontal="right" vertical="center"/>
      <protection locked="0"/>
    </xf>
    <xf numFmtId="169" fontId="17" fillId="2" borderId="1" xfId="12" applyNumberFormat="1" applyFont="1" applyFill="1" applyBorder="1" applyAlignment="1" applyProtection="1">
      <alignment vertical="center"/>
    </xf>
    <xf numFmtId="164" fontId="10" fillId="0" borderId="0" xfId="12" applyFont="1" applyAlignment="1" applyProtection="1">
      <alignment vertical="center"/>
    </xf>
    <xf numFmtId="3" fontId="10" fillId="0" borderId="7" xfId="12" applyNumberFormat="1" applyFont="1" applyBorder="1" applyAlignment="1" applyProtection="1">
      <alignment horizontal="right" vertical="center"/>
    </xf>
    <xf numFmtId="169" fontId="17" fillId="10" borderId="1" xfId="12" applyNumberFormat="1" applyFont="1" applyFill="1" applyBorder="1" applyAlignment="1" applyProtection="1">
      <alignment vertical="center"/>
    </xf>
    <xf numFmtId="169" fontId="17" fillId="9" borderId="1" xfId="12" applyNumberFormat="1" applyFont="1" applyFill="1" applyBorder="1" applyAlignment="1" applyProtection="1">
      <alignment vertical="center"/>
    </xf>
    <xf numFmtId="4" fontId="10" fillId="0" borderId="7" xfId="12" applyNumberFormat="1" applyFont="1" applyBorder="1" applyAlignment="1" applyProtection="1">
      <alignment horizontal="right" vertical="center"/>
    </xf>
    <xf numFmtId="0" fontId="10" fillId="3" borderId="9" xfId="2" applyNumberFormat="1" applyFont="1" applyBorder="1" applyAlignment="1" applyProtection="1">
      <alignment vertical="center"/>
    </xf>
    <xf numFmtId="164" fontId="10" fillId="8" borderId="7" xfId="12" applyFont="1" applyFill="1" applyBorder="1" applyProtection="1"/>
    <xf numFmtId="4" fontId="10" fillId="0" borderId="7" xfId="13" applyNumberFormat="1" applyFont="1" applyBorder="1" applyAlignment="1" applyProtection="1">
      <alignment horizontal="right" vertical="center"/>
    </xf>
    <xf numFmtId="4" fontId="16" fillId="7" borderId="7" xfId="13" applyNumberFormat="1" applyFont="1" applyFill="1" applyBorder="1" applyAlignment="1" applyProtection="1">
      <alignment horizontal="right" vertical="center" wrapText="1"/>
      <protection locked="0"/>
    </xf>
    <xf numFmtId="9" fontId="10" fillId="7" borderId="7" xfId="13" applyFont="1" applyFill="1" applyBorder="1" applyAlignment="1" applyProtection="1">
      <alignment vertical="center"/>
      <protection locked="0"/>
    </xf>
    <xf numFmtId="1" fontId="10" fillId="0" borderId="0" xfId="12" applyNumberFormat="1" applyFont="1" applyBorder="1" applyAlignment="1" applyProtection="1">
      <alignment vertical="center"/>
    </xf>
    <xf numFmtId="3" fontId="10" fillId="0" borderId="7" xfId="11" applyNumberFormat="1" applyFont="1" applyFill="1" applyBorder="1" applyAlignment="1" applyProtection="1">
      <alignment horizontal="right" vertical="center"/>
    </xf>
    <xf numFmtId="10" fontId="10" fillId="0" borderId="7" xfId="13" applyNumberFormat="1" applyFont="1" applyBorder="1" applyAlignment="1" applyProtection="1">
      <alignment horizontal="right" vertical="center"/>
    </xf>
    <xf numFmtId="164" fontId="17" fillId="2" borderId="1" xfId="1" applyNumberFormat="1" applyFont="1" applyAlignment="1" applyProtection="1">
      <alignment vertical="center"/>
    </xf>
    <xf numFmtId="0" fontId="10" fillId="3" borderId="2" xfId="2" applyNumberFormat="1" applyFont="1" applyAlignment="1" applyProtection="1">
      <alignment horizontal="left" vertical="center"/>
    </xf>
    <xf numFmtId="164" fontId="10" fillId="3" borderId="2" xfId="2" applyNumberFormat="1" applyFont="1" applyAlignment="1" applyProtection="1">
      <alignment vertical="center"/>
    </xf>
    <xf numFmtId="0" fontId="10" fillId="3" borderId="2" xfId="2" applyNumberFormat="1" applyFont="1" applyAlignment="1" applyProtection="1">
      <alignment vertical="center"/>
    </xf>
    <xf numFmtId="0" fontId="22" fillId="3" borderId="2" xfId="2" applyFont="1" applyAlignment="1" applyProtection="1">
      <alignment vertical="center"/>
    </xf>
    <xf numFmtId="0" fontId="23" fillId="5" borderId="3" xfId="3" applyFont="1" applyAlignment="1" applyProtection="1">
      <alignment vertical="center"/>
    </xf>
    <xf numFmtId="166" fontId="23" fillId="5" borderId="3" xfId="3" applyNumberFormat="1" applyFont="1" applyAlignment="1" applyProtection="1">
      <alignment vertical="center"/>
    </xf>
    <xf numFmtId="172" fontId="23" fillId="5" borderId="3" xfId="3" applyNumberFormat="1" applyFont="1" applyAlignment="1" applyProtection="1">
      <alignment horizontal="center" vertical="center"/>
    </xf>
    <xf numFmtId="164" fontId="24" fillId="2" borderId="7" xfId="12" applyFont="1" applyFill="1" applyBorder="1" applyAlignment="1" applyProtection="1">
      <alignment vertical="center"/>
    </xf>
    <xf numFmtId="171" fontId="10" fillId="0" borderId="2" xfId="2" applyNumberFormat="1" applyFont="1" applyFill="1" applyAlignment="1" applyProtection="1">
      <alignment vertical="center"/>
    </xf>
    <xf numFmtId="9" fontId="25" fillId="0" borderId="2" xfId="2" applyNumberFormat="1" applyFont="1" applyFill="1" applyAlignment="1" applyProtection="1">
      <alignment vertical="center"/>
    </xf>
    <xf numFmtId="0" fontId="10" fillId="0" borderId="2" xfId="2" applyFont="1" applyFill="1" applyAlignment="1" applyProtection="1">
      <alignment vertical="center"/>
    </xf>
    <xf numFmtId="0" fontId="10" fillId="0" borderId="18" xfId="2" applyFont="1" applyFill="1" applyBorder="1" applyAlignment="1" applyProtection="1">
      <alignment vertical="center"/>
    </xf>
    <xf numFmtId="164" fontId="10" fillId="0" borderId="2" xfId="12" applyFont="1" applyFill="1" applyBorder="1" applyAlignment="1" applyProtection="1">
      <alignment vertical="center"/>
    </xf>
    <xf numFmtId="171" fontId="10" fillId="0" borderId="2" xfId="12" applyNumberFormat="1" applyFont="1" applyFill="1" applyBorder="1" applyAlignment="1" applyProtection="1">
      <alignment vertical="center"/>
    </xf>
    <xf numFmtId="0" fontId="10" fillId="3" borderId="2" xfId="2" applyFont="1" applyAlignment="1" applyProtection="1">
      <alignment horizontal="left" vertical="center"/>
    </xf>
    <xf numFmtId="0" fontId="10" fillId="0" borderId="0" xfId="2" applyFont="1" applyFill="1" applyBorder="1" applyAlignment="1" applyProtection="1">
      <alignment vertical="center"/>
    </xf>
    <xf numFmtId="171" fontId="10" fillId="0" borderId="2" xfId="2" applyNumberFormat="1" applyFont="1" applyFill="1" applyAlignment="1" applyProtection="1">
      <alignment horizontal="center" vertical="center"/>
    </xf>
    <xf numFmtId="164" fontId="10" fillId="0" borderId="2" xfId="12" applyFont="1" applyBorder="1" applyAlignment="1" applyProtection="1">
      <alignment vertical="center"/>
    </xf>
    <xf numFmtId="0" fontId="10" fillId="0" borderId="13" xfId="2" applyFont="1" applyFill="1" applyBorder="1" applyAlignment="1" applyProtection="1">
      <alignment vertical="center"/>
    </xf>
    <xf numFmtId="0" fontId="10" fillId="0" borderId="16" xfId="2" applyFont="1" applyFill="1" applyBorder="1" applyAlignment="1" applyProtection="1">
      <alignment vertical="center"/>
    </xf>
    <xf numFmtId="0" fontId="10" fillId="0" borderId="19" xfId="2" applyFont="1" applyFill="1" applyBorder="1" applyAlignment="1" applyProtection="1">
      <alignment vertical="center"/>
    </xf>
    <xf numFmtId="0" fontId="10" fillId="0" borderId="20" xfId="2" applyFont="1" applyFill="1" applyBorder="1" applyAlignment="1" applyProtection="1">
      <alignment vertical="center"/>
    </xf>
    <xf numFmtId="164" fontId="10" fillId="0" borderId="11" xfId="12" applyFont="1" applyFill="1" applyBorder="1" applyAlignment="1" applyProtection="1">
      <alignment vertical="center"/>
    </xf>
    <xf numFmtId="0" fontId="10" fillId="0" borderId="21" xfId="2" applyFont="1" applyFill="1" applyBorder="1" applyAlignment="1" applyProtection="1">
      <alignment vertical="center"/>
    </xf>
    <xf numFmtId="0" fontId="10" fillId="0" borderId="9" xfId="2" applyFont="1" applyFill="1" applyBorder="1" applyAlignment="1" applyProtection="1">
      <alignment vertical="center"/>
    </xf>
    <xf numFmtId="0" fontId="10" fillId="0" borderId="22" xfId="2" applyFont="1" applyFill="1" applyBorder="1" applyAlignment="1" applyProtection="1">
      <alignment vertical="center"/>
    </xf>
    <xf numFmtId="164" fontId="10" fillId="0" borderId="21" xfId="12" applyFont="1" applyFill="1" applyBorder="1" applyAlignment="1" applyProtection="1">
      <alignment vertical="center"/>
    </xf>
    <xf numFmtId="164" fontId="10" fillId="0" borderId="22" xfId="12" applyFont="1" applyFill="1" applyBorder="1" applyAlignment="1" applyProtection="1">
      <alignment vertical="center"/>
    </xf>
    <xf numFmtId="164" fontId="10" fillId="0" borderId="23" xfId="12" applyFont="1" applyFill="1" applyBorder="1" applyAlignment="1" applyProtection="1">
      <alignment vertical="center"/>
    </xf>
    <xf numFmtId="164" fontId="10" fillId="0" borderId="16" xfId="12" applyFont="1" applyFill="1" applyBorder="1" applyAlignment="1" applyProtection="1">
      <alignment vertical="center"/>
    </xf>
    <xf numFmtId="0" fontId="10" fillId="3" borderId="2" xfId="2" quotePrefix="1" applyFont="1" applyAlignment="1" applyProtection="1">
      <alignment horizontal="left" vertical="center"/>
    </xf>
    <xf numFmtId="0" fontId="26" fillId="3" borderId="2" xfId="2" applyFont="1" applyAlignment="1" applyProtection="1">
      <alignment vertical="center"/>
    </xf>
    <xf numFmtId="0" fontId="26" fillId="3" borderId="2" xfId="16" applyFont="1" applyFill="1" applyBorder="1" applyAlignment="1" applyProtection="1">
      <alignment vertical="center"/>
    </xf>
    <xf numFmtId="0" fontId="26" fillId="3" borderId="2" xfId="2" applyFont="1" applyAlignment="1" applyProtection="1">
      <alignment vertical="center" wrapText="1"/>
    </xf>
    <xf numFmtId="164" fontId="10" fillId="0" borderId="0" xfId="12" applyFont="1" applyFill="1" applyBorder="1" applyAlignment="1" applyProtection="1">
      <alignment vertical="center"/>
    </xf>
    <xf numFmtId="164" fontId="10" fillId="7" borderId="7" xfId="12" applyFont="1" applyFill="1" applyBorder="1" applyAlignment="1" applyProtection="1">
      <alignment vertical="center" wrapText="1"/>
      <protection locked="0"/>
    </xf>
    <xf numFmtId="0" fontId="10" fillId="7" borderId="11" xfId="2" applyFont="1" applyFill="1" applyBorder="1" applyAlignment="1" applyProtection="1">
      <alignment vertical="center"/>
      <protection locked="0"/>
    </xf>
    <xf numFmtId="0" fontId="10" fillId="3" borderId="2" xfId="2" applyFont="1" applyProtection="1"/>
    <xf numFmtId="168" fontId="24" fillId="2" borderId="1" xfId="1" applyNumberFormat="1" applyFont="1" applyProtection="1"/>
    <xf numFmtId="0" fontId="24" fillId="2" borderId="1" xfId="1" applyFont="1" applyProtection="1"/>
    <xf numFmtId="1" fontId="24" fillId="2" borderId="1" xfId="1" applyNumberFormat="1" applyFont="1" applyProtection="1"/>
    <xf numFmtId="2" fontId="24" fillId="2" borderId="1" xfId="1" applyNumberFormat="1" applyFont="1" applyProtection="1"/>
    <xf numFmtId="9" fontId="24" fillId="2" borderId="1" xfId="13" applyFont="1" applyFill="1" applyBorder="1" applyProtection="1"/>
    <xf numFmtId="3" fontId="17" fillId="2" borderId="1" xfId="1" applyNumberFormat="1" applyFont="1" applyProtection="1"/>
    <xf numFmtId="168" fontId="17" fillId="2" borderId="1" xfId="1" applyNumberFormat="1" applyFont="1" applyProtection="1"/>
    <xf numFmtId="0" fontId="26" fillId="0" borderId="0" xfId="16" applyFont="1" applyProtection="1"/>
    <xf numFmtId="0" fontId="10" fillId="3" borderId="11" xfId="2" applyFont="1" applyBorder="1" applyAlignment="1" applyProtection="1">
      <alignment vertical="center"/>
    </xf>
    <xf numFmtId="0" fontId="16" fillId="3" borderId="9" xfId="2" applyFont="1" applyBorder="1" applyAlignment="1" applyProtection="1">
      <alignment horizontal="left" vertical="center"/>
    </xf>
    <xf numFmtId="0" fontId="13" fillId="3" borderId="11" xfId="2" applyFont="1" applyBorder="1" applyAlignment="1" applyProtection="1">
      <alignment horizontal="center" vertical="center"/>
    </xf>
    <xf numFmtId="0" fontId="16" fillId="3" borderId="2" xfId="2" applyFont="1" applyAlignment="1" applyProtection="1">
      <alignment horizontal="left" vertical="center"/>
    </xf>
    <xf numFmtId="9" fontId="10" fillId="0" borderId="0" xfId="13" applyFont="1" applyAlignment="1" applyProtection="1">
      <alignment vertical="center"/>
    </xf>
    <xf numFmtId="0" fontId="26" fillId="3" borderId="11" xfId="16" applyFont="1" applyFill="1" applyBorder="1" applyAlignment="1" applyProtection="1">
      <alignment vertical="center"/>
    </xf>
    <xf numFmtId="9" fontId="10" fillId="0" borderId="10" xfId="13" applyFont="1" applyBorder="1" applyAlignment="1" applyProtection="1">
      <alignment horizontal="center" vertical="center"/>
    </xf>
    <xf numFmtId="9" fontId="10" fillId="0" borderId="12" xfId="13" applyFont="1" applyBorder="1" applyAlignment="1" applyProtection="1">
      <alignment horizontal="center" vertical="center"/>
    </xf>
    <xf numFmtId="2" fontId="10" fillId="7" borderId="7" xfId="2" applyNumberFormat="1" applyFont="1" applyFill="1" applyBorder="1" applyAlignment="1" applyProtection="1">
      <alignment horizontal="center" vertical="center"/>
      <protection locked="0"/>
    </xf>
    <xf numFmtId="0" fontId="10" fillId="7" borderId="7" xfId="2" applyFont="1" applyFill="1" applyBorder="1" applyAlignment="1" applyProtection="1">
      <alignment horizontal="center" vertical="center"/>
      <protection locked="0"/>
    </xf>
    <xf numFmtId="168" fontId="10" fillId="7" borderId="7" xfId="2" applyNumberFormat="1" applyFont="1" applyFill="1" applyBorder="1" applyAlignment="1" applyProtection="1">
      <alignment horizontal="center" vertical="center"/>
      <protection locked="0"/>
    </xf>
    <xf numFmtId="9" fontId="10" fillId="7" borderId="7" xfId="13" applyFont="1" applyFill="1" applyBorder="1" applyAlignment="1" applyProtection="1">
      <alignment horizontal="center" vertical="center"/>
      <protection locked="0"/>
    </xf>
    <xf numFmtId="0" fontId="29" fillId="9" borderId="7" xfId="21" applyFont="1" applyFill="1" applyBorder="1" applyProtection="1"/>
    <xf numFmtId="166" fontId="10" fillId="0" borderId="7" xfId="13" applyNumberFormat="1" applyFont="1" applyBorder="1" applyAlignment="1" applyProtection="1">
      <alignment horizontal="center"/>
    </xf>
    <xf numFmtId="0" fontId="29" fillId="7" borderId="7" xfId="21" applyFont="1" applyFill="1" applyBorder="1" applyProtection="1">
      <protection locked="0"/>
    </xf>
    <xf numFmtId="168" fontId="10" fillId="7" borderId="7" xfId="0" applyNumberFormat="1" applyFont="1" applyFill="1" applyBorder="1" applyAlignment="1" applyProtection="1">
      <alignment horizontal="center"/>
      <protection locked="0"/>
    </xf>
    <xf numFmtId="166" fontId="10" fillId="7" borderId="7" xfId="13" applyNumberFormat="1" applyFont="1" applyFill="1" applyBorder="1" applyAlignment="1" applyProtection="1">
      <alignment horizontal="center"/>
      <protection locked="0"/>
    </xf>
    <xf numFmtId="0" fontId="10" fillId="7" borderId="7" xfId="0" applyFont="1" applyFill="1" applyBorder="1" applyAlignment="1" applyProtection="1">
      <alignment horizontal="center"/>
      <protection locked="0"/>
    </xf>
    <xf numFmtId="2" fontId="10" fillId="7" borderId="7" xfId="0" applyNumberFormat="1" applyFont="1" applyFill="1" applyBorder="1" applyAlignment="1" applyProtection="1">
      <alignment horizontal="center"/>
      <protection locked="0"/>
    </xf>
    <xf numFmtId="1" fontId="30" fillId="11" borderId="7" xfId="20" applyNumberFormat="1" applyFont="1" applyBorder="1" applyAlignment="1" applyProtection="1">
      <alignment horizontal="center"/>
    </xf>
    <xf numFmtId="0" fontId="29" fillId="0" borderId="7" xfId="21" applyFont="1" applyFill="1" applyBorder="1" applyAlignment="1" applyProtection="1">
      <alignment horizontal="center" textRotation="90"/>
    </xf>
    <xf numFmtId="0" fontId="10" fillId="3" borderId="2" xfId="2" applyFont="1" applyAlignment="1" applyProtection="1">
      <alignment horizontal="left" indent="1"/>
    </xf>
    <xf numFmtId="0" fontId="10" fillId="3" borderId="16" xfId="2" applyFont="1" applyBorder="1" applyProtection="1"/>
    <xf numFmtId="166" fontId="10" fillId="0" borderId="7" xfId="13" applyNumberFormat="1" applyFont="1" applyFill="1" applyBorder="1" applyAlignment="1" applyProtection="1">
      <alignment horizontal="center"/>
    </xf>
    <xf numFmtId="166" fontId="30" fillId="11" borderId="7" xfId="20" applyNumberFormat="1" applyFont="1" applyBorder="1" applyAlignment="1" applyProtection="1">
      <alignment horizontal="center"/>
    </xf>
    <xf numFmtId="166" fontId="10" fillId="0" borderId="0" xfId="13" applyNumberFormat="1" applyFont="1" applyProtection="1"/>
    <xf numFmtId="168" fontId="30" fillId="11" borderId="7" xfId="20" applyNumberFormat="1" applyFont="1" applyBorder="1" applyAlignment="1" applyProtection="1">
      <alignment horizontal="center"/>
    </xf>
    <xf numFmtId="0" fontId="30" fillId="11" borderId="0" xfId="20" applyFont="1" applyProtection="1"/>
    <xf numFmtId="1" fontId="17" fillId="2" borderId="1" xfId="1" applyNumberFormat="1" applyFont="1" applyAlignment="1" applyProtection="1">
      <alignment horizontal="center"/>
    </xf>
    <xf numFmtId="167" fontId="17" fillId="2" borderId="1" xfId="1" applyNumberFormat="1" applyFont="1" applyAlignment="1" applyProtection="1">
      <alignment horizontal="center"/>
    </xf>
    <xf numFmtId="167" fontId="17" fillId="2" borderId="1" xfId="1" applyNumberFormat="1" applyFont="1" applyAlignment="1" applyProtection="1"/>
    <xf numFmtId="0" fontId="29" fillId="7" borderId="7" xfId="21" applyFont="1" applyFill="1" applyBorder="1" applyAlignment="1" applyProtection="1">
      <alignment horizontal="center" textRotation="90"/>
      <protection locked="0"/>
    </xf>
    <xf numFmtId="1" fontId="10" fillId="7" borderId="7" xfId="0" applyNumberFormat="1" applyFont="1" applyFill="1" applyBorder="1" applyAlignment="1" applyProtection="1">
      <alignment horizontal="center"/>
      <protection locked="0"/>
    </xf>
    <xf numFmtId="168" fontId="16" fillId="0" borderId="7" xfId="20" applyNumberFormat="1" applyFont="1" applyFill="1" applyBorder="1" applyAlignment="1" applyProtection="1">
      <alignment horizontal="center"/>
    </xf>
    <xf numFmtId="166" fontId="16" fillId="0" borderId="7" xfId="20" applyNumberFormat="1" applyFont="1" applyFill="1" applyBorder="1" applyAlignment="1" applyProtection="1">
      <alignment horizontal="center"/>
    </xf>
    <xf numFmtId="0" fontId="16" fillId="0" borderId="7" xfId="13" applyNumberFormat="1" applyFont="1" applyFill="1" applyBorder="1" applyAlignment="1" applyProtection="1">
      <alignment horizontal="center"/>
    </xf>
    <xf numFmtId="2" fontId="17" fillId="2" borderId="1" xfId="1" applyNumberFormat="1" applyFont="1" applyAlignment="1" applyProtection="1">
      <alignment horizontal="center"/>
    </xf>
    <xf numFmtId="0" fontId="29" fillId="0" borderId="7" xfId="21" applyFont="1" applyFill="1" applyBorder="1" applyAlignment="1" applyProtection="1">
      <alignment horizontal="center" textRotation="90" wrapText="1"/>
    </xf>
    <xf numFmtId="0" fontId="10" fillId="3" borderId="2" xfId="2" applyFont="1" applyAlignment="1" applyProtection="1">
      <alignment horizontal="left" wrapText="1" indent="1"/>
    </xf>
    <xf numFmtId="0" fontId="10" fillId="3" borderId="16" xfId="2" applyFont="1" applyBorder="1" applyAlignment="1" applyProtection="1">
      <alignment wrapText="1"/>
    </xf>
    <xf numFmtId="0" fontId="16" fillId="0" borderId="7" xfId="20" applyNumberFormat="1" applyFont="1" applyFill="1" applyBorder="1" applyAlignment="1" applyProtection="1">
      <alignment horizontal="center" vertical="center" wrapText="1"/>
    </xf>
    <xf numFmtId="0" fontId="10" fillId="0" borderId="7" xfId="13" applyNumberFormat="1" applyFont="1" applyFill="1" applyBorder="1" applyAlignment="1" applyProtection="1">
      <alignment horizontal="center"/>
    </xf>
    <xf numFmtId="0" fontId="16" fillId="0" borderId="7" xfId="20" applyNumberFormat="1" applyFont="1" applyFill="1" applyBorder="1" applyAlignment="1" applyProtection="1">
      <alignment horizontal="center"/>
    </xf>
    <xf numFmtId="168" fontId="10" fillId="0" borderId="7" xfId="13" applyNumberFormat="1" applyFont="1" applyFill="1" applyBorder="1" applyAlignment="1" applyProtection="1">
      <alignment horizontal="center"/>
    </xf>
    <xf numFmtId="1" fontId="10" fillId="0" borderId="7" xfId="13" applyNumberFormat="1" applyFont="1" applyFill="1" applyBorder="1" applyAlignment="1" applyProtection="1">
      <alignment horizontal="center"/>
    </xf>
    <xf numFmtId="1" fontId="16" fillId="0" borderId="7" xfId="20" applyNumberFormat="1" applyFont="1" applyFill="1" applyBorder="1" applyAlignment="1" applyProtection="1">
      <alignment horizontal="center"/>
    </xf>
    <xf numFmtId="168" fontId="17" fillId="2" borderId="1" xfId="1" applyNumberFormat="1" applyFont="1" applyAlignment="1" applyProtection="1">
      <alignment horizontal="center"/>
    </xf>
    <xf numFmtId="168" fontId="17" fillId="2" borderId="1" xfId="1" applyNumberFormat="1" applyFont="1" applyAlignment="1" applyProtection="1">
      <alignment horizontal="center" vertical="center"/>
    </xf>
    <xf numFmtId="0" fontId="29" fillId="7" borderId="7" xfId="21" applyFont="1" applyFill="1" applyBorder="1" applyAlignment="1" applyProtection="1">
      <alignment horizontal="center" textRotation="90" wrapText="1"/>
      <protection locked="0"/>
    </xf>
    <xf numFmtId="0" fontId="10" fillId="7" borderId="7" xfId="0" applyFont="1" applyFill="1" applyBorder="1" applyAlignment="1" applyProtection="1">
      <alignment horizontal="center" vertical="center" wrapText="1"/>
      <protection locked="0"/>
    </xf>
    <xf numFmtId="0" fontId="10" fillId="7" borderId="7" xfId="0" applyFont="1" applyFill="1" applyBorder="1" applyAlignment="1" applyProtection="1">
      <alignment horizontal="center" vertical="center"/>
      <protection locked="0"/>
    </xf>
    <xf numFmtId="0" fontId="10" fillId="7" borderId="7" xfId="13" applyNumberFormat="1" applyFont="1" applyFill="1" applyBorder="1" applyAlignment="1" applyProtection="1">
      <alignment horizontal="center"/>
      <protection locked="0"/>
    </xf>
    <xf numFmtId="168" fontId="10" fillId="7" borderId="7" xfId="13" applyNumberFormat="1" applyFont="1" applyFill="1" applyBorder="1" applyAlignment="1" applyProtection="1">
      <alignment horizontal="center"/>
      <protection locked="0"/>
    </xf>
    <xf numFmtId="1" fontId="10" fillId="7" borderId="7" xfId="13" applyNumberFormat="1" applyFont="1" applyFill="1" applyBorder="1" applyAlignment="1" applyProtection="1">
      <alignment horizontal="center"/>
      <protection locked="0"/>
    </xf>
    <xf numFmtId="0" fontId="10" fillId="0" borderId="0" xfId="0" applyFont="1"/>
    <xf numFmtId="0" fontId="13" fillId="14" borderId="0" xfId="0" applyFont="1" applyFill="1" applyAlignment="1">
      <alignment horizontal="left" vertical="center"/>
    </xf>
    <xf numFmtId="0" fontId="13" fillId="14" borderId="0" xfId="0" applyFont="1" applyFill="1" applyAlignment="1">
      <alignment vertical="center"/>
    </xf>
    <xf numFmtId="0" fontId="13" fillId="15" borderId="0" xfId="0" applyFont="1" applyFill="1" applyAlignment="1">
      <alignment vertical="center"/>
    </xf>
    <xf numFmtId="0" fontId="10" fillId="0" borderId="0" xfId="0" applyFont="1" applyAlignment="1">
      <alignment horizontal="left"/>
    </xf>
    <xf numFmtId="0" fontId="11" fillId="0" borderId="0" xfId="0" applyFont="1" applyAlignment="1">
      <alignment horizontal="left"/>
    </xf>
    <xf numFmtId="0" fontId="11" fillId="0" borderId="0" xfId="0" applyFont="1" applyAlignment="1">
      <alignment horizontal="right"/>
    </xf>
    <xf numFmtId="0" fontId="12" fillId="0" borderId="0" xfId="0" applyFont="1"/>
    <xf numFmtId="0" fontId="10" fillId="0" borderId="0" xfId="0" applyFont="1" applyAlignment="1">
      <alignment horizontal="right"/>
    </xf>
    <xf numFmtId="0" fontId="11" fillId="0" borderId="0" xfId="0" applyFont="1" applyAlignment="1">
      <alignment horizontal="left" vertical="top"/>
    </xf>
    <xf numFmtId="0" fontId="11" fillId="0" borderId="0" xfId="0" applyFont="1" applyAlignment="1">
      <alignment horizontal="right" vertical="top"/>
    </xf>
    <xf numFmtId="0" fontId="11" fillId="0" borderId="0" xfId="0" applyFont="1"/>
    <xf numFmtId="0" fontId="12" fillId="9" borderId="0" xfId="0" applyFont="1" applyFill="1" applyAlignment="1">
      <alignment vertical="top"/>
    </xf>
    <xf numFmtId="0" fontId="10" fillId="9" borderId="0" xfId="0" applyFont="1" applyFill="1"/>
    <xf numFmtId="0" fontId="10" fillId="9" borderId="27" xfId="0" applyFont="1" applyFill="1" applyBorder="1"/>
    <xf numFmtId="0" fontId="12" fillId="9" borderId="0" xfId="0" applyFont="1" applyFill="1"/>
    <xf numFmtId="0" fontId="36" fillId="4" borderId="0" xfId="0" applyFont="1" applyFill="1" applyAlignment="1">
      <alignment vertical="center"/>
    </xf>
    <xf numFmtId="0" fontId="34" fillId="4" borderId="0" xfId="0" applyFont="1" applyFill="1"/>
    <xf numFmtId="0" fontId="35" fillId="9" borderId="0" xfId="0" applyFont="1" applyFill="1"/>
    <xf numFmtId="0" fontId="35" fillId="9" borderId="0" xfId="0" applyFont="1" applyFill="1" applyAlignment="1">
      <alignment horizontal="right"/>
    </xf>
    <xf numFmtId="0" fontId="10" fillId="9" borderId="0" xfId="0" applyFont="1" applyFill="1" applyAlignment="1">
      <alignment horizontal="left"/>
    </xf>
    <xf numFmtId="0" fontId="36" fillId="4" borderId="0" xfId="0" applyFont="1" applyFill="1" applyAlignment="1">
      <alignment horizontal="left" vertical="center"/>
    </xf>
    <xf numFmtId="0" fontId="10" fillId="4" borderId="0" xfId="0" applyFont="1" applyFill="1"/>
    <xf numFmtId="0" fontId="12" fillId="0" borderId="0" xfId="0" applyFont="1" applyAlignment="1">
      <alignment vertical="center"/>
    </xf>
    <xf numFmtId="0" fontId="10" fillId="0" borderId="0" xfId="0" applyFont="1" applyAlignment="1">
      <alignment vertical="center"/>
    </xf>
    <xf numFmtId="0" fontId="10" fillId="0" borderId="30" xfId="0" applyFont="1" applyBorder="1" applyAlignment="1">
      <alignment vertical="center"/>
    </xf>
    <xf numFmtId="0" fontId="13" fillId="4" borderId="0" xfId="0" applyFont="1" applyFill="1" applyAlignment="1">
      <alignment horizontal="left" vertical="center" indent="1"/>
    </xf>
    <xf numFmtId="0" fontId="13" fillId="4" borderId="0" xfId="0" applyFont="1" applyFill="1" applyAlignment="1">
      <alignment horizontal="center" vertical="center"/>
    </xf>
    <xf numFmtId="0" fontId="10" fillId="0" borderId="31" xfId="0" applyFont="1" applyBorder="1" applyAlignment="1">
      <alignment vertical="center"/>
    </xf>
    <xf numFmtId="0" fontId="10" fillId="9" borderId="32" xfId="0" applyFont="1" applyFill="1" applyBorder="1" applyAlignment="1">
      <alignment vertical="center"/>
    </xf>
    <xf numFmtId="0" fontId="11" fillId="13" borderId="26" xfId="0" applyFont="1" applyFill="1" applyBorder="1" applyAlignment="1">
      <alignment vertical="center"/>
    </xf>
    <xf numFmtId="0" fontId="10" fillId="13" borderId="29" xfId="0" applyFont="1" applyFill="1" applyBorder="1" applyAlignment="1">
      <alignment vertical="center"/>
    </xf>
    <xf numFmtId="0" fontId="10" fillId="13" borderId="29" xfId="0" applyFont="1" applyFill="1" applyBorder="1" applyAlignment="1">
      <alignment horizontal="right" vertical="center"/>
    </xf>
    <xf numFmtId="0" fontId="10" fillId="13" borderId="27" xfId="0" applyFont="1" applyFill="1" applyBorder="1" applyAlignment="1">
      <alignment horizontal="right" vertical="center"/>
    </xf>
    <xf numFmtId="0" fontId="10" fillId="0" borderId="0" xfId="0" applyFont="1" applyAlignment="1">
      <alignment horizontal="right" vertical="center"/>
    </xf>
    <xf numFmtId="0" fontId="11" fillId="0" borderId="0" xfId="0" applyFont="1" applyAlignment="1">
      <alignment horizontal="right" vertical="center"/>
    </xf>
    <xf numFmtId="0" fontId="25" fillId="0" borderId="0" xfId="0" applyFont="1" applyAlignment="1">
      <alignment vertical="center"/>
    </xf>
    <xf numFmtId="0" fontId="10" fillId="0" borderId="38" xfId="0" applyFont="1" applyBorder="1" applyAlignment="1">
      <alignment vertical="center"/>
    </xf>
    <xf numFmtId="0" fontId="13" fillId="4" borderId="26" xfId="0" applyFont="1" applyFill="1" applyBorder="1" applyAlignment="1">
      <alignment horizontal="left" vertical="center" indent="1"/>
    </xf>
    <xf numFmtId="0" fontId="13" fillId="4" borderId="29" xfId="0" applyFont="1" applyFill="1" applyBorder="1" applyAlignment="1">
      <alignment horizontal="center" vertical="center"/>
    </xf>
    <xf numFmtId="0" fontId="10" fillId="0" borderId="43" xfId="0" applyFont="1" applyBorder="1" applyAlignment="1">
      <alignment vertical="center"/>
    </xf>
    <xf numFmtId="165" fontId="10" fillId="0" borderId="31" xfId="0" applyNumberFormat="1" applyFont="1" applyBorder="1" applyAlignment="1">
      <alignment vertical="center"/>
    </xf>
    <xf numFmtId="0" fontId="10" fillId="13" borderId="27" xfId="0" applyFont="1" applyFill="1" applyBorder="1" applyAlignment="1">
      <alignment vertical="center"/>
    </xf>
    <xf numFmtId="0" fontId="10" fillId="9" borderId="0" xfId="0" applyFont="1" applyFill="1" applyAlignment="1">
      <alignment vertical="center"/>
    </xf>
    <xf numFmtId="165" fontId="10" fillId="0" borderId="31" xfId="0" quotePrefix="1" applyNumberFormat="1" applyFont="1" applyBorder="1" applyAlignment="1">
      <alignment vertical="center"/>
    </xf>
    <xf numFmtId="0" fontId="11" fillId="0" borderId="0" xfId="0" applyFont="1" applyAlignment="1">
      <alignment horizontal="center" vertical="center"/>
    </xf>
    <xf numFmtId="0" fontId="11" fillId="0" borderId="0" xfId="0" applyFont="1" applyAlignment="1">
      <alignment vertical="center"/>
    </xf>
    <xf numFmtId="0" fontId="14" fillId="0" borderId="0" xfId="0" applyFont="1" applyAlignment="1">
      <alignment vertical="center"/>
    </xf>
    <xf numFmtId="0" fontId="15" fillId="0" borderId="0" xfId="0" applyFont="1" applyAlignment="1">
      <alignment vertical="center"/>
    </xf>
    <xf numFmtId="0" fontId="15" fillId="0" borderId="0" xfId="0" applyFont="1" applyAlignment="1">
      <alignment horizontal="center" vertical="center" wrapText="1"/>
    </xf>
    <xf numFmtId="0" fontId="15" fillId="0" borderId="0" xfId="0" applyFont="1" applyAlignment="1">
      <alignment horizontal="left" vertical="center" wrapText="1"/>
    </xf>
    <xf numFmtId="0" fontId="18" fillId="0" borderId="0" xfId="0" applyFont="1" applyAlignment="1">
      <alignment horizontal="right" vertical="center"/>
    </xf>
    <xf numFmtId="0" fontId="18" fillId="0" borderId="0" xfId="0" applyFont="1" applyAlignment="1">
      <alignment vertical="center"/>
    </xf>
    <xf numFmtId="0" fontId="14" fillId="9" borderId="0" xfId="0" applyFont="1" applyFill="1" applyAlignment="1">
      <alignment vertical="center"/>
    </xf>
    <xf numFmtId="0" fontId="15" fillId="9" borderId="0" xfId="0" applyFont="1" applyFill="1" applyAlignment="1">
      <alignment vertical="center"/>
    </xf>
    <xf numFmtId="0" fontId="15" fillId="0" borderId="30" xfId="0" applyFont="1" applyBorder="1" applyAlignment="1">
      <alignment horizontal="left" vertical="center" wrapText="1"/>
    </xf>
    <xf numFmtId="0" fontId="15" fillId="9" borderId="0" xfId="0" applyFont="1" applyFill="1" applyAlignment="1">
      <alignment horizontal="center" vertical="center" wrapText="1"/>
    </xf>
    <xf numFmtId="0" fontId="15" fillId="9" borderId="0" xfId="0" applyFont="1" applyFill="1" applyAlignment="1">
      <alignment horizontal="left" vertical="center" wrapText="1"/>
    </xf>
    <xf numFmtId="170" fontId="10" fillId="9" borderId="0" xfId="0" applyNumberFormat="1" applyFont="1" applyFill="1" applyAlignment="1">
      <alignment vertical="center"/>
    </xf>
    <xf numFmtId="169" fontId="10" fillId="9" borderId="0" xfId="0" applyNumberFormat="1" applyFont="1" applyFill="1" applyAlignment="1">
      <alignment vertical="center"/>
    </xf>
    <xf numFmtId="2" fontId="10" fillId="9" borderId="7" xfId="0" applyNumberFormat="1" applyFont="1" applyFill="1" applyBorder="1" applyAlignment="1">
      <alignment vertical="center"/>
    </xf>
    <xf numFmtId="0" fontId="18" fillId="9" borderId="0" xfId="0" applyFont="1" applyFill="1" applyAlignment="1">
      <alignment horizontal="right" vertical="center"/>
    </xf>
    <xf numFmtId="0" fontId="18" fillId="9" borderId="0" xfId="0" applyFont="1" applyFill="1" applyAlignment="1">
      <alignment vertical="center"/>
    </xf>
    <xf numFmtId="169" fontId="11" fillId="0" borderId="0" xfId="0" applyNumberFormat="1" applyFont="1" applyAlignment="1">
      <alignment vertical="center"/>
    </xf>
    <xf numFmtId="1" fontId="10" fillId="9" borderId="7" xfId="0" applyNumberFormat="1" applyFont="1" applyFill="1" applyBorder="1" applyAlignment="1">
      <alignment vertical="center"/>
    </xf>
    <xf numFmtId="3" fontId="16" fillId="9" borderId="7" xfId="0" applyNumberFormat="1" applyFont="1" applyFill="1" applyBorder="1" applyAlignment="1">
      <alignment horizontal="right" vertical="center" wrapText="1"/>
    </xf>
    <xf numFmtId="170" fontId="10" fillId="0" borderId="7" xfId="0" applyNumberFormat="1" applyFont="1" applyBorder="1" applyAlignment="1">
      <alignment vertical="center"/>
    </xf>
    <xf numFmtId="167" fontId="10" fillId="9" borderId="7" xfId="0" applyNumberFormat="1" applyFont="1" applyFill="1" applyBorder="1" applyAlignment="1">
      <alignment horizontal="right" vertical="center"/>
    </xf>
    <xf numFmtId="169" fontId="10" fillId="0" borderId="0" xfId="0" applyNumberFormat="1" applyFont="1" applyAlignment="1">
      <alignment vertical="center"/>
    </xf>
    <xf numFmtId="3" fontId="10" fillId="9" borderId="7" xfId="0" applyNumberFormat="1" applyFont="1" applyFill="1" applyBorder="1" applyAlignment="1">
      <alignment vertical="center"/>
    </xf>
    <xf numFmtId="4" fontId="10" fillId="0" borderId="0" xfId="0" applyNumberFormat="1" applyFont="1" applyAlignment="1">
      <alignment vertical="center"/>
    </xf>
    <xf numFmtId="4" fontId="10" fillId="9" borderId="7" xfId="0" applyNumberFormat="1" applyFont="1" applyFill="1" applyBorder="1" applyAlignment="1">
      <alignment vertical="center"/>
    </xf>
    <xf numFmtId="4" fontId="10" fillId="0" borderId="0" xfId="0" applyNumberFormat="1" applyFont="1" applyAlignment="1">
      <alignment horizontal="right" vertical="center"/>
    </xf>
    <xf numFmtId="2" fontId="10" fillId="0" borderId="0" xfId="0" applyNumberFormat="1" applyFont="1" applyAlignment="1">
      <alignment vertical="center"/>
    </xf>
    <xf numFmtId="0" fontId="21" fillId="0" borderId="0" xfId="0" applyFont="1" applyAlignment="1">
      <alignment horizontal="left" vertical="center"/>
    </xf>
    <xf numFmtId="4" fontId="11" fillId="0" borderId="7" xfId="0" applyNumberFormat="1" applyFont="1" applyBorder="1" applyAlignment="1">
      <alignment horizontal="right" vertical="center"/>
    </xf>
    <xf numFmtId="4" fontId="11" fillId="9" borderId="7" xfId="0" applyNumberFormat="1" applyFont="1" applyFill="1" applyBorder="1" applyAlignment="1">
      <alignment horizontal="right" vertical="center"/>
    </xf>
    <xf numFmtId="2" fontId="10" fillId="9" borderId="7" xfId="0" applyNumberFormat="1" applyFont="1" applyFill="1" applyBorder="1" applyAlignment="1">
      <alignment horizontal="right" vertical="center"/>
    </xf>
    <xf numFmtId="4" fontId="11" fillId="9" borderId="7" xfId="0" applyNumberFormat="1" applyFont="1" applyFill="1" applyBorder="1" applyAlignment="1">
      <alignment vertical="center"/>
    </xf>
    <xf numFmtId="4" fontId="10" fillId="0" borderId="7" xfId="0" applyNumberFormat="1" applyFont="1" applyBorder="1" applyAlignment="1">
      <alignment vertical="center"/>
    </xf>
    <xf numFmtId="0" fontId="10" fillId="0" borderId="7" xfId="0" applyFont="1" applyBorder="1" applyAlignment="1">
      <alignment vertical="center"/>
    </xf>
    <xf numFmtId="3" fontId="10" fillId="0" borderId="7" xfId="0" applyNumberFormat="1" applyFont="1" applyBorder="1" applyAlignment="1">
      <alignment vertical="center"/>
    </xf>
    <xf numFmtId="0" fontId="12" fillId="9" borderId="0" xfId="0" applyFont="1" applyFill="1" applyAlignment="1">
      <alignment vertical="center"/>
    </xf>
    <xf numFmtId="0" fontId="11" fillId="9" borderId="0" xfId="0" applyFont="1" applyFill="1" applyAlignment="1">
      <alignment vertical="center"/>
    </xf>
    <xf numFmtId="0" fontId="11" fillId="9" borderId="0" xfId="0" applyFont="1" applyFill="1" applyAlignment="1">
      <alignment horizontal="center" vertical="center"/>
    </xf>
    <xf numFmtId="4" fontId="10" fillId="0" borderId="7" xfId="0" applyNumberFormat="1" applyFont="1" applyBorder="1" applyAlignment="1">
      <alignment horizontal="right" vertical="center"/>
    </xf>
    <xf numFmtId="0" fontId="28" fillId="9" borderId="0" xfId="0" applyFont="1" applyFill="1" applyAlignment="1">
      <alignment vertical="center"/>
    </xf>
    <xf numFmtId="4" fontId="10" fillId="9" borderId="0" xfId="0" applyNumberFormat="1" applyFont="1" applyFill="1" applyAlignment="1">
      <alignment vertical="center"/>
    </xf>
    <xf numFmtId="0" fontId="11" fillId="9" borderId="0" xfId="0" applyFont="1" applyFill="1" applyAlignment="1">
      <alignment horizontal="right" vertical="center"/>
    </xf>
    <xf numFmtId="1" fontId="10" fillId="9" borderId="0" xfId="0" applyNumberFormat="1" applyFont="1" applyFill="1" applyAlignment="1">
      <alignment vertical="center"/>
    </xf>
    <xf numFmtId="1" fontId="10" fillId="0" borderId="7" xfId="0" applyNumberFormat="1" applyFont="1" applyBorder="1" applyAlignment="1">
      <alignment vertical="center"/>
    </xf>
    <xf numFmtId="1" fontId="10" fillId="0" borderId="0" xfId="0" applyNumberFormat="1" applyFont="1" applyAlignment="1">
      <alignment vertical="center"/>
    </xf>
    <xf numFmtId="165" fontId="10" fillId="0" borderId="0" xfId="0" applyNumberFormat="1" applyFont="1" applyAlignment="1">
      <alignment vertical="center"/>
    </xf>
    <xf numFmtId="165" fontId="18" fillId="9" borderId="0" xfId="0" applyNumberFormat="1" applyFont="1" applyFill="1" applyAlignment="1">
      <alignment vertical="center"/>
    </xf>
    <xf numFmtId="0" fontId="28" fillId="0" borderId="0" xfId="0" applyFont="1" applyAlignment="1">
      <alignment vertical="center"/>
    </xf>
    <xf numFmtId="169" fontId="10" fillId="0" borderId="7" xfId="0" applyNumberFormat="1" applyFont="1" applyBorder="1" applyAlignment="1">
      <alignment vertical="center"/>
    </xf>
    <xf numFmtId="0" fontId="10" fillId="0" borderId="0" xfId="0" applyFont="1" applyAlignment="1">
      <alignment horizontal="left" vertical="center"/>
    </xf>
    <xf numFmtId="165" fontId="10" fillId="9" borderId="7" xfId="0" applyNumberFormat="1" applyFont="1" applyFill="1" applyBorder="1" applyAlignment="1">
      <alignment horizontal="right" vertical="center"/>
    </xf>
    <xf numFmtId="165" fontId="15" fillId="0" borderId="0" xfId="0" applyNumberFormat="1" applyFont="1" applyAlignment="1">
      <alignment horizontal="center" vertical="center" wrapText="1"/>
    </xf>
    <xf numFmtId="4" fontId="10" fillId="9" borderId="7" xfId="0" applyNumberFormat="1" applyFont="1" applyFill="1" applyBorder="1" applyAlignment="1">
      <alignment horizontal="right" vertical="center"/>
    </xf>
    <xf numFmtId="2" fontId="10" fillId="9" borderId="0" xfId="0" applyNumberFormat="1" applyFont="1" applyFill="1" applyAlignment="1">
      <alignment vertical="center"/>
    </xf>
    <xf numFmtId="3" fontId="10" fillId="9" borderId="0" xfId="0" applyNumberFormat="1" applyFont="1" applyFill="1" applyAlignment="1">
      <alignment vertical="center"/>
    </xf>
    <xf numFmtId="3" fontId="11" fillId="9" borderId="0" xfId="0" applyNumberFormat="1" applyFont="1" applyFill="1" applyAlignment="1">
      <alignment vertical="center"/>
    </xf>
    <xf numFmtId="169" fontId="11" fillId="9" borderId="0" xfId="0" applyNumberFormat="1" applyFont="1" applyFill="1" applyAlignment="1">
      <alignment vertical="center"/>
    </xf>
    <xf numFmtId="2" fontId="16" fillId="9" borderId="7" xfId="0" applyNumberFormat="1" applyFont="1" applyFill="1" applyBorder="1" applyAlignment="1">
      <alignment horizontal="right" vertical="center" wrapText="1"/>
    </xf>
    <xf numFmtId="4" fontId="16" fillId="9" borderId="7" xfId="0" applyNumberFormat="1" applyFont="1" applyFill="1" applyBorder="1" applyAlignment="1">
      <alignment horizontal="right" vertical="center" wrapText="1"/>
    </xf>
    <xf numFmtId="167" fontId="10" fillId="9" borderId="0" xfId="0" applyNumberFormat="1" applyFont="1" applyFill="1" applyAlignment="1">
      <alignment vertical="center"/>
    </xf>
    <xf numFmtId="0" fontId="10" fillId="9" borderId="7" xfId="0" applyFont="1" applyFill="1" applyBorder="1" applyAlignment="1">
      <alignment vertical="center"/>
    </xf>
    <xf numFmtId="4" fontId="11" fillId="0" borderId="7" xfId="0" applyNumberFormat="1" applyFont="1" applyBorder="1" applyAlignment="1">
      <alignment vertical="center"/>
    </xf>
    <xf numFmtId="2" fontId="10" fillId="0" borderId="7" xfId="0" applyNumberFormat="1" applyFont="1" applyBorder="1" applyAlignment="1">
      <alignment vertical="center"/>
    </xf>
    <xf numFmtId="0" fontId="10" fillId="9" borderId="0" xfId="0" applyFont="1" applyFill="1" applyAlignment="1">
      <alignment horizontal="right" vertical="center"/>
    </xf>
    <xf numFmtId="165" fontId="10" fillId="9" borderId="0" xfId="0" applyNumberFormat="1" applyFont="1" applyFill="1" applyAlignment="1">
      <alignment vertical="center"/>
    </xf>
    <xf numFmtId="165" fontId="18" fillId="9" borderId="0" xfId="0" applyNumberFormat="1" applyFont="1" applyFill="1" applyAlignment="1">
      <alignment horizontal="left" vertical="center"/>
    </xf>
    <xf numFmtId="167" fontId="10" fillId="9" borderId="7" xfId="0" applyNumberFormat="1" applyFont="1" applyFill="1" applyBorder="1" applyAlignment="1">
      <alignment vertical="center"/>
    </xf>
    <xf numFmtId="3" fontId="10" fillId="0" borderId="0" xfId="0" applyNumberFormat="1" applyFont="1" applyAlignment="1">
      <alignment horizontal="right"/>
    </xf>
    <xf numFmtId="4" fontId="10" fillId="9" borderId="0" xfId="0" applyNumberFormat="1" applyFont="1" applyFill="1" applyAlignment="1">
      <alignment horizontal="right" vertical="center"/>
    </xf>
    <xf numFmtId="3" fontId="11" fillId="0" borderId="0" xfId="0" applyNumberFormat="1" applyFont="1" applyAlignment="1">
      <alignment horizontal="right" vertical="center"/>
    </xf>
    <xf numFmtId="4" fontId="11" fillId="0" borderId="0" xfId="0" applyNumberFormat="1" applyFont="1" applyAlignment="1">
      <alignment vertical="center"/>
    </xf>
    <xf numFmtId="169" fontId="10" fillId="0" borderId="0" xfId="0" applyNumberFormat="1" applyFont="1"/>
    <xf numFmtId="3" fontId="10" fillId="9" borderId="7" xfId="0" applyNumberFormat="1" applyFont="1" applyFill="1" applyBorder="1" applyAlignment="1">
      <alignment horizontal="right" vertical="center"/>
    </xf>
    <xf numFmtId="167" fontId="10" fillId="0" borderId="7" xfId="0" applyNumberFormat="1" applyFont="1" applyBorder="1" applyAlignment="1">
      <alignment vertical="center"/>
    </xf>
    <xf numFmtId="3" fontId="10" fillId="0" borderId="0" xfId="0" applyNumberFormat="1" applyFont="1" applyAlignment="1">
      <alignment horizontal="right" vertical="center"/>
    </xf>
    <xf numFmtId="4" fontId="10" fillId="0" borderId="0" xfId="0" applyNumberFormat="1" applyFont="1" applyAlignment="1">
      <alignment horizontal="right"/>
    </xf>
    <xf numFmtId="2" fontId="10" fillId="0" borderId="0" xfId="0" applyNumberFormat="1" applyFont="1" applyAlignment="1">
      <alignment horizontal="right" vertical="center"/>
    </xf>
    <xf numFmtId="4" fontId="11" fillId="0" borderId="7" xfId="0" applyNumberFormat="1" applyFont="1" applyBorder="1" applyAlignment="1">
      <alignment horizontal="right"/>
    </xf>
    <xf numFmtId="4" fontId="10" fillId="0" borderId="7" xfId="0" applyNumberFormat="1" applyFont="1" applyBorder="1" applyAlignment="1">
      <alignment horizontal="right"/>
    </xf>
    <xf numFmtId="3" fontId="10" fillId="0" borderId="7" xfId="0" applyNumberFormat="1" applyFont="1" applyBorder="1" applyAlignment="1">
      <alignment horizontal="right"/>
    </xf>
    <xf numFmtId="3" fontId="10" fillId="0" borderId="7" xfId="0" applyNumberFormat="1" applyFont="1" applyBorder="1" applyAlignment="1">
      <alignment horizontal="right" vertical="center"/>
    </xf>
    <xf numFmtId="3" fontId="10" fillId="9" borderId="0" xfId="0" applyNumberFormat="1" applyFont="1" applyFill="1" applyAlignment="1">
      <alignment horizontal="right" vertical="center"/>
    </xf>
    <xf numFmtId="3" fontId="10" fillId="0" borderId="0" xfId="0" applyNumberFormat="1" applyFont="1" applyAlignment="1">
      <alignment vertical="center"/>
    </xf>
    <xf numFmtId="0" fontId="11" fillId="9" borderId="0" xfId="0" applyFont="1" applyFill="1" applyAlignment="1">
      <alignment horizontal="left" vertical="center"/>
    </xf>
    <xf numFmtId="1" fontId="10" fillId="0" borderId="0" xfId="0" applyNumberFormat="1" applyFont="1" applyAlignment="1">
      <alignment horizontal="right" vertical="center"/>
    </xf>
    <xf numFmtId="1" fontId="10" fillId="9" borderId="7" xfId="0" applyNumberFormat="1" applyFont="1" applyFill="1" applyBorder="1" applyAlignment="1">
      <alignment horizontal="right" vertical="center"/>
    </xf>
    <xf numFmtId="0" fontId="13" fillId="4" borderId="0" xfId="0" applyFont="1" applyFill="1"/>
    <xf numFmtId="0" fontId="11" fillId="12" borderId="26" xfId="0" applyFont="1" applyFill="1" applyBorder="1"/>
    <xf numFmtId="0" fontId="10" fillId="12" borderId="29" xfId="0" applyFont="1" applyFill="1" applyBorder="1"/>
    <xf numFmtId="0" fontId="10" fillId="12" borderId="27" xfId="0" applyFont="1" applyFill="1" applyBorder="1"/>
    <xf numFmtId="169" fontId="10" fillId="12" borderId="29" xfId="0" applyNumberFormat="1" applyFont="1" applyFill="1" applyBorder="1"/>
    <xf numFmtId="164" fontId="10" fillId="0" borderId="0" xfId="0" applyNumberFormat="1" applyFont="1" applyAlignment="1">
      <alignment vertical="center"/>
    </xf>
    <xf numFmtId="0" fontId="10" fillId="0" borderId="13" xfId="0" applyFont="1" applyBorder="1" applyAlignment="1">
      <alignment vertical="center"/>
    </xf>
    <xf numFmtId="0" fontId="16" fillId="0" borderId="0" xfId="0" applyFont="1" applyAlignment="1">
      <alignment horizontal="right" vertical="center"/>
    </xf>
    <xf numFmtId="0" fontId="10" fillId="0" borderId="0" xfId="0" applyFont="1" applyAlignment="1">
      <alignment horizontal="center" vertical="center"/>
    </xf>
    <xf numFmtId="0" fontId="13" fillId="4" borderId="0" xfId="0" applyFont="1" applyFill="1" applyAlignment="1">
      <alignment vertical="center"/>
    </xf>
    <xf numFmtId="0" fontId="10" fillId="4" borderId="0" xfId="0" applyFont="1" applyFill="1" applyAlignment="1">
      <alignment vertical="center"/>
    </xf>
    <xf numFmtId="0" fontId="10" fillId="4" borderId="0" xfId="0" applyFont="1" applyFill="1" applyAlignment="1">
      <alignment horizontal="left" vertical="center"/>
    </xf>
    <xf numFmtId="0" fontId="16" fillId="0" borderId="0" xfId="0" applyFont="1" applyAlignment="1">
      <alignment horizontal="center" vertical="center"/>
    </xf>
    <xf numFmtId="0" fontId="16" fillId="0" borderId="0" xfId="0" applyFont="1" applyAlignment="1">
      <alignment horizontal="left" vertical="center"/>
    </xf>
    <xf numFmtId="0" fontId="15" fillId="0" borderId="0" xfId="0" applyFont="1" applyAlignment="1">
      <alignment horizontal="left" vertical="center"/>
    </xf>
    <xf numFmtId="0" fontId="15" fillId="9" borderId="41" xfId="0" applyFont="1" applyFill="1" applyBorder="1" applyAlignment="1">
      <alignment horizontal="right" vertical="center" wrapText="1"/>
    </xf>
    <xf numFmtId="0" fontId="15" fillId="9" borderId="14" xfId="0" applyFont="1" applyFill="1" applyBorder="1" applyAlignment="1">
      <alignment horizontal="center" vertical="center" wrapText="1"/>
    </xf>
    <xf numFmtId="0" fontId="10" fillId="0" borderId="17" xfId="0" applyFont="1" applyBorder="1" applyAlignment="1">
      <alignment vertical="center"/>
    </xf>
    <xf numFmtId="0" fontId="10" fillId="0" borderId="15" xfId="0" applyFont="1" applyBorder="1" applyAlignment="1">
      <alignment vertical="center"/>
    </xf>
    <xf numFmtId="171" fontId="10" fillId="0" borderId="0" xfId="0" applyNumberFormat="1" applyFont="1" applyAlignment="1">
      <alignment vertical="center"/>
    </xf>
    <xf numFmtId="0" fontId="10" fillId="0" borderId="24" xfId="0" applyFont="1" applyBorder="1" applyAlignment="1">
      <alignment vertical="center"/>
    </xf>
    <xf numFmtId="0" fontId="10" fillId="0" borderId="0" xfId="0" applyFont="1" applyAlignment="1">
      <alignment horizontal="center" vertical="center" wrapText="1"/>
    </xf>
    <xf numFmtId="0" fontId="10" fillId="0" borderId="0" xfId="0" applyFont="1" applyAlignment="1">
      <alignment wrapText="1"/>
    </xf>
    <xf numFmtId="0" fontId="10" fillId="0" borderId="0" xfId="0" applyFont="1" applyAlignment="1">
      <alignment horizontal="center"/>
    </xf>
    <xf numFmtId="0" fontId="12" fillId="0" borderId="0" xfId="0" applyFont="1" applyAlignment="1">
      <alignment horizontal="center" vertical="center"/>
    </xf>
    <xf numFmtId="0" fontId="15" fillId="0" borderId="0" xfId="0" applyFont="1" applyAlignment="1">
      <alignment horizontal="center" vertical="center"/>
    </xf>
    <xf numFmtId="0" fontId="13" fillId="0" borderId="0" xfId="0" applyFont="1" applyAlignment="1">
      <alignment horizontal="center" vertical="center"/>
    </xf>
    <xf numFmtId="168" fontId="10" fillId="0" borderId="31" xfId="8" applyNumberFormat="1" applyFont="1" applyBorder="1" applyAlignment="1">
      <alignment horizontal="center" vertical="center"/>
    </xf>
    <xf numFmtId="173" fontId="10" fillId="0" borderId="12" xfId="8" applyNumberFormat="1" applyFont="1" applyBorder="1" applyAlignment="1">
      <alignment horizontal="center" vertical="center"/>
    </xf>
    <xf numFmtId="0" fontId="10" fillId="0" borderId="12" xfId="8" applyFont="1" applyBorder="1" applyAlignment="1">
      <alignment vertical="center"/>
    </xf>
    <xf numFmtId="1" fontId="10" fillId="0" borderId="10" xfId="8" applyNumberFormat="1" applyFont="1" applyBorder="1" applyAlignment="1">
      <alignment horizontal="center" vertical="center"/>
    </xf>
    <xf numFmtId="3" fontId="10" fillId="0" borderId="12" xfId="8" applyNumberFormat="1" applyFont="1" applyBorder="1" applyAlignment="1">
      <alignment horizontal="center" vertical="center"/>
    </xf>
    <xf numFmtId="3" fontId="10" fillId="0" borderId="10" xfId="8" applyNumberFormat="1" applyFont="1" applyBorder="1" applyAlignment="1">
      <alignment horizontal="center" vertical="center"/>
    </xf>
    <xf numFmtId="2" fontId="10" fillId="0" borderId="10" xfId="8" applyNumberFormat="1" applyFont="1" applyBorder="1" applyAlignment="1">
      <alignment horizontal="center" vertical="center"/>
    </xf>
    <xf numFmtId="2" fontId="10" fillId="0" borderId="12" xfId="8" applyNumberFormat="1" applyFont="1" applyBorder="1" applyAlignment="1">
      <alignment horizontal="center" vertical="center"/>
    </xf>
    <xf numFmtId="168" fontId="10" fillId="0" borderId="10" xfId="8" applyNumberFormat="1" applyFont="1" applyBorder="1" applyAlignment="1">
      <alignment horizontal="center" vertical="center"/>
    </xf>
    <xf numFmtId="168" fontId="10" fillId="0" borderId="12" xfId="8" applyNumberFormat="1" applyFont="1" applyBorder="1" applyAlignment="1">
      <alignment horizontal="center" vertical="center"/>
    </xf>
    <xf numFmtId="0" fontId="10" fillId="0" borderId="10" xfId="8" applyFont="1" applyBorder="1" applyAlignment="1">
      <alignment vertical="center"/>
    </xf>
    <xf numFmtId="0" fontId="10" fillId="0" borderId="10" xfId="8" applyFont="1" applyBorder="1" applyAlignment="1">
      <alignment horizontal="center" vertical="center"/>
    </xf>
    <xf numFmtId="1" fontId="10" fillId="0" borderId="12" xfId="8" applyNumberFormat="1" applyFont="1" applyBorder="1" applyAlignment="1">
      <alignment horizontal="center" vertical="center"/>
    </xf>
    <xf numFmtId="0" fontId="10" fillId="0" borderId="10" xfId="8" applyFont="1" applyBorder="1" applyAlignment="1">
      <alignment horizontal="left" vertical="center"/>
    </xf>
    <xf numFmtId="166" fontId="10" fillId="0" borderId="10" xfId="8" applyNumberFormat="1" applyFont="1" applyBorder="1" applyAlignment="1">
      <alignment horizontal="center" vertical="center"/>
    </xf>
    <xf numFmtId="175" fontId="10" fillId="0" borderId="12" xfId="8" applyNumberFormat="1" applyFont="1" applyBorder="1" applyAlignment="1">
      <alignment horizontal="center" vertical="center"/>
    </xf>
    <xf numFmtId="176" fontId="10" fillId="0" borderId="12" xfId="8" applyNumberFormat="1" applyFont="1" applyBorder="1" applyAlignment="1">
      <alignment horizontal="center" vertical="center"/>
    </xf>
    <xf numFmtId="0" fontId="11" fillId="0" borderId="0" xfId="0" applyFont="1" applyAlignment="1">
      <alignment horizontal="center" wrapText="1"/>
    </xf>
    <xf numFmtId="168" fontId="10" fillId="0" borderId="7" xfId="0" applyNumberFormat="1" applyFont="1" applyBorder="1" applyAlignment="1">
      <alignment horizontal="center"/>
    </xf>
    <xf numFmtId="0" fontId="10" fillId="0" borderId="7" xfId="0" applyFont="1" applyBorder="1" applyAlignment="1">
      <alignment horizontal="center"/>
    </xf>
    <xf numFmtId="2" fontId="10" fillId="0" borderId="7" xfId="0" applyNumberFormat="1" applyFont="1" applyBorder="1" applyAlignment="1">
      <alignment horizontal="center"/>
    </xf>
    <xf numFmtId="0" fontId="11" fillId="0" borderId="7" xfId="0" applyFont="1" applyBorder="1"/>
    <xf numFmtId="1" fontId="10" fillId="0" borderId="7" xfId="0" applyNumberFormat="1" applyFont="1" applyBorder="1" applyAlignment="1">
      <alignment horizontal="center"/>
    </xf>
    <xf numFmtId="0" fontId="11" fillId="0" borderId="0" xfId="0" applyFont="1" applyAlignment="1">
      <alignment horizontal="left" vertical="center"/>
    </xf>
    <xf numFmtId="0" fontId="16" fillId="0" borderId="0" xfId="0" applyFont="1"/>
    <xf numFmtId="168" fontId="16" fillId="0" borderId="7" xfId="0" applyNumberFormat="1" applyFont="1" applyBorder="1" applyAlignment="1">
      <alignment horizontal="center"/>
    </xf>
    <xf numFmtId="2" fontId="16" fillId="0" borderId="7" xfId="0" applyNumberFormat="1" applyFont="1" applyBorder="1" applyAlignment="1">
      <alignment horizontal="center"/>
    </xf>
    <xf numFmtId="0" fontId="10" fillId="0" borderId="7" xfId="0" applyFont="1" applyBorder="1" applyAlignment="1">
      <alignment horizontal="center" wrapText="1"/>
    </xf>
    <xf numFmtId="0" fontId="16" fillId="0" borderId="7"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0" xfId="0" applyFont="1" applyAlignment="1">
      <alignment vertical="top"/>
    </xf>
    <xf numFmtId="0" fontId="28" fillId="0" borderId="0" xfId="0" applyFont="1"/>
    <xf numFmtId="0" fontId="10" fillId="0" borderId="7" xfId="8" applyFont="1"/>
    <xf numFmtId="0" fontId="16" fillId="0" borderId="0" xfId="0" applyFont="1" applyAlignment="1">
      <alignment horizontal="center" vertical="center" wrapText="1"/>
    </xf>
    <xf numFmtId="0" fontId="15" fillId="0" borderId="0" xfId="0" applyFont="1"/>
    <xf numFmtId="0" fontId="16" fillId="0" borderId="0" xfId="0" applyFont="1" applyAlignment="1">
      <alignment horizontal="left" vertical="center" wrapText="1"/>
    </xf>
    <xf numFmtId="0" fontId="10" fillId="0" borderId="7" xfId="0" applyFont="1" applyBorder="1"/>
    <xf numFmtId="2" fontId="10" fillId="0" borderId="7" xfId="8" applyNumberFormat="1" applyFont="1"/>
    <xf numFmtId="0" fontId="16" fillId="0" borderId="0" xfId="0" applyFont="1" applyAlignment="1">
      <alignment horizontal="center"/>
    </xf>
  </cellXfs>
  <cellStyles count="23">
    <cellStyle name="90 degree title" xfId="10" xr:uid="{B0ABF634-7BE9-4E16-9E58-2469B2521CBC}"/>
    <cellStyle name="Accent1" xfId="9" builtinId="29" customBuiltin="1"/>
    <cellStyle name="Activity table header, bold, border, centered" xfId="14" xr:uid="{5C332228-3229-4CF8-9C68-5A968365F9A4}"/>
    <cellStyle name="Bad" xfId="20" builtinId="27"/>
    <cellStyle name="Calculation" xfId="4" builtinId="22"/>
    <cellStyle name="Check Cell" xfId="6" builtinId="23"/>
    <cellStyle name="Comma" xfId="11" builtinId="3"/>
    <cellStyle name="Currency" xfId="12" builtinId="4"/>
    <cellStyle name="Heading 4" xfId="21" builtinId="19"/>
    <cellStyle name="Hyperlink" xfId="16" builtinId="8"/>
    <cellStyle name="Input" xfId="3" builtinId="20"/>
    <cellStyle name="Linked Cell" xfId="5" builtinId="24"/>
    <cellStyle name="Normal" xfId="0" builtinId="0"/>
    <cellStyle name="Normal 2" xfId="17" xr:uid="{0D919A95-BF41-4EFE-9A15-97BDA47D6A39}"/>
    <cellStyle name="Normal 2 5" xfId="18" xr:uid="{3E86302B-4D63-4977-BD18-F94E8613FDC3}"/>
    <cellStyle name="Normal border" xfId="8" xr:uid="{93FA1B6B-89F6-4F52-B4F6-478AA00D84E7}"/>
    <cellStyle name="NormalBorderedCentered 2" xfId="22" xr:uid="{C4C55C0F-51BD-4B97-B0AF-0BCBC45117CD}"/>
    <cellStyle name="Note" xfId="2" builtinId="10"/>
    <cellStyle name="Output" xfId="1" builtinId="21"/>
    <cellStyle name="Percent" xfId="13" builtinId="5"/>
    <cellStyle name="Percent 3" xfId="19" xr:uid="{2AD4409F-5B59-4396-ABD0-99C9C50D74AB}"/>
    <cellStyle name="Total" xfId="7" builtinId="25"/>
    <cellStyle name="Totals item" xfId="15" xr:uid="{3B0EEBA5-919D-4450-9913-B5476FE3A0CC}"/>
  </cellStyles>
  <dxfs count="1">
    <dxf>
      <font>
        <color rgb="FF9C0006"/>
      </font>
      <fill>
        <patternFill>
          <bgColor rgb="FFFFC7CE"/>
        </patternFill>
      </fill>
    </dxf>
  </dxfs>
  <tableStyles count="0" defaultTableStyle="TableStyleMedium2" defaultPivotStyle="PivotStyleLight16"/>
  <colors>
    <mruColors>
      <color rgb="FFBA8CDC"/>
      <color rgb="FFD9E1F2"/>
      <color rgb="FF6F2B8D"/>
      <color rgb="FF009A91"/>
      <color rgb="FFFAA719"/>
      <color rgb="FFF2F2F2"/>
      <color rgb="FFD6DC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4.png"/><Relationship Id="rId7"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10" Type="http://schemas.openxmlformats.org/officeDocument/2006/relationships/image" Target="../media/image10.png"/><Relationship Id="rId4" Type="http://schemas.openxmlformats.org/officeDocument/2006/relationships/image" Target="../media/image5.png"/><Relationship Id="rId9"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3</xdr:col>
      <xdr:colOff>888452</xdr:colOff>
      <xdr:row>1</xdr:row>
      <xdr:rowOff>684629</xdr:rowOff>
    </xdr:to>
    <xdr:pic>
      <xdr:nvPicPr>
        <xdr:cNvPr id="2" name="Picture 1" descr="Government of South Australia logo - Home">
          <a:extLst>
            <a:ext uri="{FF2B5EF4-FFF2-40B4-BE49-F238E27FC236}">
              <a16:creationId xmlns:a16="http://schemas.microsoft.com/office/drawing/2014/main" id="{5079A335-8946-466B-8171-067950690E6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1950" y="161925"/>
          <a:ext cx="2548977" cy="6846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22411</xdr:colOff>
      <xdr:row>56</xdr:row>
      <xdr:rowOff>179295</xdr:rowOff>
    </xdr:from>
    <xdr:to>
      <xdr:col>9</xdr:col>
      <xdr:colOff>119941</xdr:colOff>
      <xdr:row>56</xdr:row>
      <xdr:rowOff>874058</xdr:rowOff>
    </xdr:to>
    <xdr:pic>
      <xdr:nvPicPr>
        <xdr:cNvPr id="13" name="Picture 12">
          <a:extLst>
            <a:ext uri="{FF2B5EF4-FFF2-40B4-BE49-F238E27FC236}">
              <a16:creationId xmlns:a16="http://schemas.microsoft.com/office/drawing/2014/main" id="{51942C53-F00C-1388-9A4A-8895408AE676}"/>
            </a:ext>
          </a:extLst>
        </xdr:cNvPr>
        <xdr:cNvPicPr>
          <a:picLocks noChangeAspect="1"/>
        </xdr:cNvPicPr>
      </xdr:nvPicPr>
      <xdr:blipFill rotWithShape="1">
        <a:blip xmlns:r="http://schemas.openxmlformats.org/officeDocument/2006/relationships" r:embed="rId1"/>
        <a:srcRect b="42865"/>
        <a:stretch>
          <a:fillRect/>
        </a:stretch>
      </xdr:blipFill>
      <xdr:spPr>
        <a:xfrm>
          <a:off x="2263587" y="13088471"/>
          <a:ext cx="3011060" cy="694763"/>
        </a:xfrm>
        <a:prstGeom prst="rect">
          <a:avLst/>
        </a:prstGeom>
      </xdr:spPr>
    </xdr:pic>
    <xdr:clientData/>
  </xdr:twoCellAnchor>
  <xdr:twoCellAnchor editAs="oneCell">
    <xdr:from>
      <xdr:col>0</xdr:col>
      <xdr:colOff>233831</xdr:colOff>
      <xdr:row>185</xdr:row>
      <xdr:rowOff>33615</xdr:rowOff>
    </xdr:from>
    <xdr:to>
      <xdr:col>13</xdr:col>
      <xdr:colOff>78442</xdr:colOff>
      <xdr:row>199</xdr:row>
      <xdr:rowOff>104528</xdr:rowOff>
    </xdr:to>
    <xdr:pic>
      <xdr:nvPicPr>
        <xdr:cNvPr id="30" name="Picture 29">
          <a:extLst>
            <a:ext uri="{FF2B5EF4-FFF2-40B4-BE49-F238E27FC236}">
              <a16:creationId xmlns:a16="http://schemas.microsoft.com/office/drawing/2014/main" id="{2FD2E683-EBA9-F64B-FCBD-258DD6BD3D1F}"/>
            </a:ext>
          </a:extLst>
        </xdr:cNvPr>
        <xdr:cNvPicPr>
          <a:picLocks noChangeAspect="1"/>
        </xdr:cNvPicPr>
      </xdr:nvPicPr>
      <xdr:blipFill rotWithShape="1">
        <a:blip xmlns:r="http://schemas.openxmlformats.org/officeDocument/2006/relationships" r:embed="rId2"/>
        <a:srcRect l="1" r="53506"/>
        <a:stretch>
          <a:fillRect/>
        </a:stretch>
      </xdr:blipFill>
      <xdr:spPr>
        <a:xfrm>
          <a:off x="233831" y="34424468"/>
          <a:ext cx="7330140" cy="2267266"/>
        </a:xfrm>
        <a:prstGeom prst="rect">
          <a:avLst/>
        </a:prstGeom>
      </xdr:spPr>
    </xdr:pic>
    <xdr:clientData/>
  </xdr:twoCellAnchor>
  <xdr:twoCellAnchor editAs="oneCell">
    <xdr:from>
      <xdr:col>0</xdr:col>
      <xdr:colOff>291352</xdr:colOff>
      <xdr:row>84</xdr:row>
      <xdr:rowOff>154147</xdr:rowOff>
    </xdr:from>
    <xdr:to>
      <xdr:col>26</xdr:col>
      <xdr:colOff>481853</xdr:colOff>
      <xdr:row>117</xdr:row>
      <xdr:rowOff>99709</xdr:rowOff>
    </xdr:to>
    <xdr:pic>
      <xdr:nvPicPr>
        <xdr:cNvPr id="20" name="Picture 19">
          <a:extLst>
            <a:ext uri="{FF2B5EF4-FFF2-40B4-BE49-F238E27FC236}">
              <a16:creationId xmlns:a16="http://schemas.microsoft.com/office/drawing/2014/main" id="{4A43165E-F7D5-9016-4634-ACC607B6ACE7}"/>
            </a:ext>
          </a:extLst>
        </xdr:cNvPr>
        <xdr:cNvPicPr>
          <a:picLocks noChangeAspect="1"/>
        </xdr:cNvPicPr>
      </xdr:nvPicPr>
      <xdr:blipFill>
        <a:blip xmlns:r="http://schemas.openxmlformats.org/officeDocument/2006/relationships" r:embed="rId3"/>
        <a:stretch>
          <a:fillRect/>
        </a:stretch>
      </xdr:blipFill>
      <xdr:spPr>
        <a:xfrm>
          <a:off x="291352" y="18632647"/>
          <a:ext cx="15251207" cy="5122680"/>
        </a:xfrm>
        <a:prstGeom prst="rect">
          <a:avLst/>
        </a:prstGeom>
      </xdr:spPr>
    </xdr:pic>
    <xdr:clientData/>
  </xdr:twoCellAnchor>
  <xdr:twoCellAnchor editAs="oneCell">
    <xdr:from>
      <xdr:col>3</xdr:col>
      <xdr:colOff>493060</xdr:colOff>
      <xdr:row>44</xdr:row>
      <xdr:rowOff>112059</xdr:rowOff>
    </xdr:from>
    <xdr:to>
      <xdr:col>12</xdr:col>
      <xdr:colOff>347383</xdr:colOff>
      <xdr:row>47</xdr:row>
      <xdr:rowOff>973981</xdr:rowOff>
    </xdr:to>
    <xdr:pic>
      <xdr:nvPicPr>
        <xdr:cNvPr id="3" name="Picture 2">
          <a:extLst>
            <a:ext uri="{FF2B5EF4-FFF2-40B4-BE49-F238E27FC236}">
              <a16:creationId xmlns:a16="http://schemas.microsoft.com/office/drawing/2014/main" id="{9A90379F-E220-0796-C3AA-D9CD1C72703C}"/>
            </a:ext>
          </a:extLst>
        </xdr:cNvPr>
        <xdr:cNvPicPr>
          <a:picLocks noChangeAspect="1"/>
        </xdr:cNvPicPr>
      </xdr:nvPicPr>
      <xdr:blipFill rotWithShape="1">
        <a:blip xmlns:r="http://schemas.openxmlformats.org/officeDocument/2006/relationships" r:embed="rId4"/>
        <a:srcRect b="4775"/>
        <a:stretch>
          <a:fillRect/>
        </a:stretch>
      </xdr:blipFill>
      <xdr:spPr>
        <a:xfrm>
          <a:off x="2151531" y="7440706"/>
          <a:ext cx="5098676" cy="1467039"/>
        </a:xfrm>
        <a:prstGeom prst="rect">
          <a:avLst/>
        </a:prstGeom>
      </xdr:spPr>
    </xdr:pic>
    <xdr:clientData/>
  </xdr:twoCellAnchor>
  <xdr:twoCellAnchor editAs="oneCell">
    <xdr:from>
      <xdr:col>3</xdr:col>
      <xdr:colOff>537881</xdr:colOff>
      <xdr:row>52</xdr:row>
      <xdr:rowOff>151901</xdr:rowOff>
    </xdr:from>
    <xdr:to>
      <xdr:col>19</xdr:col>
      <xdr:colOff>206684</xdr:colOff>
      <xdr:row>52</xdr:row>
      <xdr:rowOff>1513416</xdr:rowOff>
    </xdr:to>
    <xdr:pic>
      <xdr:nvPicPr>
        <xdr:cNvPr id="34" name="Picture 33">
          <a:extLst>
            <a:ext uri="{FF2B5EF4-FFF2-40B4-BE49-F238E27FC236}">
              <a16:creationId xmlns:a16="http://schemas.microsoft.com/office/drawing/2014/main" id="{818A20F7-57F9-A560-0B37-ED2A74E0A2C8}"/>
            </a:ext>
          </a:extLst>
        </xdr:cNvPr>
        <xdr:cNvPicPr>
          <a:picLocks noChangeAspect="1"/>
        </xdr:cNvPicPr>
      </xdr:nvPicPr>
      <xdr:blipFill>
        <a:blip xmlns:r="http://schemas.openxmlformats.org/officeDocument/2006/relationships" r:embed="rId5"/>
        <a:stretch>
          <a:fillRect/>
        </a:stretch>
      </xdr:blipFill>
      <xdr:spPr>
        <a:xfrm>
          <a:off x="2199464" y="11200901"/>
          <a:ext cx="8982137" cy="1361515"/>
        </a:xfrm>
        <a:prstGeom prst="rect">
          <a:avLst/>
        </a:prstGeom>
      </xdr:spPr>
    </xdr:pic>
    <xdr:clientData/>
  </xdr:twoCellAnchor>
  <xdr:twoCellAnchor>
    <xdr:from>
      <xdr:col>8</xdr:col>
      <xdr:colOff>191060</xdr:colOff>
      <xdr:row>118</xdr:row>
      <xdr:rowOff>63312</xdr:rowOff>
    </xdr:from>
    <xdr:to>
      <xdr:col>10</xdr:col>
      <xdr:colOff>419660</xdr:colOff>
      <xdr:row>122</xdr:row>
      <xdr:rowOff>112059</xdr:rowOff>
    </xdr:to>
    <xdr:sp macro="" textlink="">
      <xdr:nvSpPr>
        <xdr:cNvPr id="7" name="Callout: Line 6">
          <a:extLst>
            <a:ext uri="{FF2B5EF4-FFF2-40B4-BE49-F238E27FC236}">
              <a16:creationId xmlns:a16="http://schemas.microsoft.com/office/drawing/2014/main" id="{A57F0F3C-1434-27FA-1C16-9FF52499678A}"/>
            </a:ext>
          </a:extLst>
        </xdr:cNvPr>
        <xdr:cNvSpPr/>
      </xdr:nvSpPr>
      <xdr:spPr>
        <a:xfrm>
          <a:off x="4763060" y="23875812"/>
          <a:ext cx="1394012" cy="676276"/>
        </a:xfrm>
        <a:prstGeom prst="borderCallout1">
          <a:avLst>
            <a:gd name="adj1" fmla="val -12829"/>
            <a:gd name="adj2" fmla="val 49562"/>
            <a:gd name="adj3" fmla="val -110317"/>
            <a:gd name="adj4" fmla="val 69562"/>
          </a:avLst>
        </a:prstGeom>
        <a:solidFill>
          <a:schemeClr val="accent5">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000">
              <a:solidFill>
                <a:schemeClr val="bg1"/>
              </a:solidFill>
              <a:latin typeface="Poppins regular"/>
            </a:rPr>
            <a:t>Dropdown selections for Users to set</a:t>
          </a:r>
        </a:p>
      </xdr:txBody>
    </xdr:sp>
    <xdr:clientData/>
  </xdr:twoCellAnchor>
  <xdr:twoCellAnchor>
    <xdr:from>
      <xdr:col>12</xdr:col>
      <xdr:colOff>201705</xdr:colOff>
      <xdr:row>117</xdr:row>
      <xdr:rowOff>146797</xdr:rowOff>
    </xdr:from>
    <xdr:to>
      <xdr:col>14</xdr:col>
      <xdr:colOff>530597</xdr:colOff>
      <xdr:row>122</xdr:row>
      <xdr:rowOff>134471</xdr:rowOff>
    </xdr:to>
    <xdr:sp macro="" textlink="">
      <xdr:nvSpPr>
        <xdr:cNvPr id="10" name="Callout: Line 9">
          <a:extLst>
            <a:ext uri="{FF2B5EF4-FFF2-40B4-BE49-F238E27FC236}">
              <a16:creationId xmlns:a16="http://schemas.microsoft.com/office/drawing/2014/main" id="{40443E32-BEBF-4880-AA7F-253BCE90558E}"/>
            </a:ext>
          </a:extLst>
        </xdr:cNvPr>
        <xdr:cNvSpPr/>
      </xdr:nvSpPr>
      <xdr:spPr>
        <a:xfrm>
          <a:off x="7104529" y="23802415"/>
          <a:ext cx="1494303" cy="772085"/>
        </a:xfrm>
        <a:prstGeom prst="borderCallout1">
          <a:avLst>
            <a:gd name="adj1" fmla="val -8550"/>
            <a:gd name="adj2" fmla="val 85162"/>
            <a:gd name="adj3" fmla="val -96915"/>
            <a:gd name="adj4" fmla="val 128676"/>
          </a:avLst>
        </a:prstGeom>
        <a:solidFill>
          <a:schemeClr val="accent5">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000">
              <a:solidFill>
                <a:schemeClr val="bg1"/>
              </a:solidFill>
              <a:latin typeface="Poppins regular"/>
            </a:rPr>
            <a:t>Default (orange) and</a:t>
          </a:r>
          <a:r>
            <a:rPr lang="en-AU" sz="1000" baseline="0">
              <a:solidFill>
                <a:schemeClr val="bg1"/>
              </a:solidFill>
              <a:latin typeface="Poppins regular"/>
            </a:rPr>
            <a:t> User (green) rates - User rates override default rates</a:t>
          </a:r>
          <a:endParaRPr lang="en-AU" sz="1000">
            <a:solidFill>
              <a:schemeClr val="bg1"/>
            </a:solidFill>
            <a:latin typeface="Poppins regular"/>
          </a:endParaRPr>
        </a:p>
      </xdr:txBody>
    </xdr:sp>
    <xdr:clientData/>
  </xdr:twoCellAnchor>
  <xdr:twoCellAnchor>
    <xdr:from>
      <xdr:col>27</xdr:col>
      <xdr:colOff>86844</xdr:colOff>
      <xdr:row>108</xdr:row>
      <xdr:rowOff>74891</xdr:rowOff>
    </xdr:from>
    <xdr:to>
      <xdr:col>29</xdr:col>
      <xdr:colOff>571499</xdr:colOff>
      <xdr:row>115</xdr:row>
      <xdr:rowOff>116166</xdr:rowOff>
    </xdr:to>
    <xdr:sp macro="" textlink="">
      <xdr:nvSpPr>
        <xdr:cNvPr id="11" name="Callout: Line 10">
          <a:extLst>
            <a:ext uri="{FF2B5EF4-FFF2-40B4-BE49-F238E27FC236}">
              <a16:creationId xmlns:a16="http://schemas.microsoft.com/office/drawing/2014/main" id="{59945BF9-E14F-4221-A69E-F7909E659EC5}"/>
            </a:ext>
          </a:extLst>
        </xdr:cNvPr>
        <xdr:cNvSpPr/>
      </xdr:nvSpPr>
      <xdr:spPr>
        <a:xfrm>
          <a:off x="15730256" y="22318567"/>
          <a:ext cx="1650067" cy="1139452"/>
        </a:xfrm>
        <a:prstGeom prst="borderCallout1">
          <a:avLst>
            <a:gd name="adj1" fmla="val 50791"/>
            <a:gd name="adj2" fmla="val -3706"/>
            <a:gd name="adj3" fmla="val 32681"/>
            <a:gd name="adj4" fmla="val -98768"/>
          </a:avLst>
        </a:prstGeom>
        <a:solidFill>
          <a:schemeClr val="accent5">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000">
              <a:solidFill>
                <a:schemeClr val="bg1"/>
              </a:solidFill>
              <a:latin typeface="Poppins regular"/>
            </a:rPr>
            <a:t>Space</a:t>
          </a:r>
          <a:r>
            <a:rPr lang="en-AU" sz="1000" baseline="0">
              <a:solidFill>
                <a:schemeClr val="bg1"/>
              </a:solidFill>
              <a:latin typeface="Poppins regular"/>
            </a:rPr>
            <a:t> for Users to enter explanatory notes to aid understanding / state assumptions / explain any changes from last estimate </a:t>
          </a:r>
          <a:endParaRPr lang="en-AU" sz="1000">
            <a:solidFill>
              <a:schemeClr val="bg1"/>
            </a:solidFill>
            <a:latin typeface="Poppins regular"/>
          </a:endParaRPr>
        </a:p>
      </xdr:txBody>
    </xdr:sp>
    <xdr:clientData/>
  </xdr:twoCellAnchor>
  <xdr:twoCellAnchor>
    <xdr:from>
      <xdr:col>22</xdr:col>
      <xdr:colOff>308349</xdr:colOff>
      <xdr:row>84</xdr:row>
      <xdr:rowOff>147171</xdr:rowOff>
    </xdr:from>
    <xdr:to>
      <xdr:col>28</xdr:col>
      <xdr:colOff>317873</xdr:colOff>
      <xdr:row>87</xdr:row>
      <xdr:rowOff>126815</xdr:rowOff>
    </xdr:to>
    <xdr:sp macro="" textlink="">
      <xdr:nvSpPr>
        <xdr:cNvPr id="12" name="Callout: Line 11">
          <a:extLst>
            <a:ext uri="{FF2B5EF4-FFF2-40B4-BE49-F238E27FC236}">
              <a16:creationId xmlns:a16="http://schemas.microsoft.com/office/drawing/2014/main" id="{1A5017F4-1515-4B05-A6F0-9CEFDF0F7067}"/>
            </a:ext>
          </a:extLst>
        </xdr:cNvPr>
        <xdr:cNvSpPr/>
      </xdr:nvSpPr>
      <xdr:spPr>
        <a:xfrm>
          <a:off x="13038231" y="18625671"/>
          <a:ext cx="3505760" cy="450291"/>
        </a:xfrm>
        <a:prstGeom prst="borderCallout1">
          <a:avLst>
            <a:gd name="adj1" fmla="val 49037"/>
            <a:gd name="adj2" fmla="val -1791"/>
            <a:gd name="adj3" fmla="val 71572"/>
            <a:gd name="adj4" fmla="val -15204"/>
          </a:avLst>
        </a:prstGeom>
        <a:solidFill>
          <a:schemeClr val="accent5">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000">
              <a:solidFill>
                <a:schemeClr val="bg1"/>
              </a:solidFill>
              <a:latin typeface="Poppins regular"/>
            </a:rPr>
            <a:t>Total cost of all</a:t>
          </a:r>
          <a:r>
            <a:rPr lang="en-AU" sz="1000" baseline="0">
              <a:solidFill>
                <a:schemeClr val="bg1"/>
              </a:solidFill>
              <a:latin typeface="Poppins regular"/>
            </a:rPr>
            <a:t> elements in the input sheet showing total before recycling, recycling, and total with recycling included</a:t>
          </a:r>
          <a:endParaRPr lang="en-AU" sz="1000">
            <a:solidFill>
              <a:schemeClr val="bg1"/>
            </a:solidFill>
            <a:latin typeface="Poppins regular"/>
          </a:endParaRPr>
        </a:p>
      </xdr:txBody>
    </xdr:sp>
    <xdr:clientData/>
  </xdr:twoCellAnchor>
  <xdr:twoCellAnchor>
    <xdr:from>
      <xdr:col>2</xdr:col>
      <xdr:colOff>573742</xdr:colOff>
      <xdr:row>117</xdr:row>
      <xdr:rowOff>78441</xdr:rowOff>
    </xdr:from>
    <xdr:to>
      <xdr:col>5</xdr:col>
      <xdr:colOff>192741</xdr:colOff>
      <xdr:row>120</xdr:row>
      <xdr:rowOff>133911</xdr:rowOff>
    </xdr:to>
    <xdr:sp macro="" textlink="">
      <xdr:nvSpPr>
        <xdr:cNvPr id="15" name="Callout: Line 14">
          <a:extLst>
            <a:ext uri="{FF2B5EF4-FFF2-40B4-BE49-F238E27FC236}">
              <a16:creationId xmlns:a16="http://schemas.microsoft.com/office/drawing/2014/main" id="{9C84AC8D-3847-4107-AAB5-54FF314EB40D}"/>
            </a:ext>
          </a:extLst>
        </xdr:cNvPr>
        <xdr:cNvSpPr/>
      </xdr:nvSpPr>
      <xdr:spPr>
        <a:xfrm>
          <a:off x="1481418" y="23734059"/>
          <a:ext cx="1535205" cy="526117"/>
        </a:xfrm>
        <a:prstGeom prst="borderCallout1">
          <a:avLst>
            <a:gd name="adj1" fmla="val 17058"/>
            <a:gd name="adj2" fmla="val 103510"/>
            <a:gd name="adj3" fmla="val -23060"/>
            <a:gd name="adj4" fmla="val 139689"/>
          </a:avLst>
        </a:prstGeom>
        <a:solidFill>
          <a:schemeClr val="accent5">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000">
              <a:solidFill>
                <a:schemeClr val="bg1"/>
              </a:solidFill>
              <a:latin typeface="Poppins regular"/>
            </a:rPr>
            <a:t>Quantity totals</a:t>
          </a:r>
          <a:r>
            <a:rPr lang="en-AU" sz="1000" baseline="0">
              <a:solidFill>
                <a:schemeClr val="bg1"/>
              </a:solidFill>
              <a:latin typeface="Poppins regular"/>
            </a:rPr>
            <a:t> for each element</a:t>
          </a:r>
          <a:endParaRPr lang="en-AU" sz="1000">
            <a:solidFill>
              <a:schemeClr val="bg1"/>
            </a:solidFill>
            <a:latin typeface="Poppins regular"/>
          </a:endParaRPr>
        </a:p>
      </xdr:txBody>
    </xdr:sp>
    <xdr:clientData/>
  </xdr:twoCellAnchor>
  <xdr:twoCellAnchor>
    <xdr:from>
      <xdr:col>17</xdr:col>
      <xdr:colOff>456079</xdr:colOff>
      <xdr:row>118</xdr:row>
      <xdr:rowOff>68357</xdr:rowOff>
    </xdr:from>
    <xdr:to>
      <xdr:col>19</xdr:col>
      <xdr:colOff>398929</xdr:colOff>
      <xdr:row>121</xdr:row>
      <xdr:rowOff>100854</xdr:rowOff>
    </xdr:to>
    <xdr:sp macro="" textlink="">
      <xdr:nvSpPr>
        <xdr:cNvPr id="16" name="Callout: Line 15">
          <a:extLst>
            <a:ext uri="{FF2B5EF4-FFF2-40B4-BE49-F238E27FC236}">
              <a16:creationId xmlns:a16="http://schemas.microsoft.com/office/drawing/2014/main" id="{D358742F-C526-46BC-8A65-2918C27D8C9A}"/>
            </a:ext>
          </a:extLst>
        </xdr:cNvPr>
        <xdr:cNvSpPr/>
      </xdr:nvSpPr>
      <xdr:spPr>
        <a:xfrm>
          <a:off x="10272432" y="23880857"/>
          <a:ext cx="1108262" cy="503144"/>
        </a:xfrm>
        <a:prstGeom prst="borderCallout1">
          <a:avLst>
            <a:gd name="adj1" fmla="val -4848"/>
            <a:gd name="adj2" fmla="val 39804"/>
            <a:gd name="adj3" fmla="val -60848"/>
            <a:gd name="adj4" fmla="val 30176"/>
          </a:avLst>
        </a:prstGeom>
        <a:solidFill>
          <a:schemeClr val="accent5">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000">
              <a:solidFill>
                <a:schemeClr val="bg1"/>
              </a:solidFill>
              <a:latin typeface="Poppins regular"/>
            </a:rPr>
            <a:t>Cost </a:t>
          </a:r>
          <a:r>
            <a:rPr lang="en-AU" sz="1000" baseline="0">
              <a:solidFill>
                <a:schemeClr val="bg1"/>
              </a:solidFill>
              <a:latin typeface="Poppins regular"/>
            </a:rPr>
            <a:t>per unit</a:t>
          </a:r>
          <a:endParaRPr lang="en-AU" sz="1000">
            <a:solidFill>
              <a:schemeClr val="bg1"/>
            </a:solidFill>
            <a:latin typeface="Poppins regular"/>
          </a:endParaRPr>
        </a:p>
      </xdr:txBody>
    </xdr:sp>
    <xdr:clientData/>
  </xdr:twoCellAnchor>
  <xdr:twoCellAnchor>
    <xdr:from>
      <xdr:col>16</xdr:col>
      <xdr:colOff>342900</xdr:colOff>
      <xdr:row>109</xdr:row>
      <xdr:rowOff>95250</xdr:rowOff>
    </xdr:from>
    <xdr:to>
      <xdr:col>17</xdr:col>
      <xdr:colOff>158750</xdr:colOff>
      <xdr:row>109</xdr:row>
      <xdr:rowOff>95250</xdr:rowOff>
    </xdr:to>
    <xdr:cxnSp macro="">
      <xdr:nvCxnSpPr>
        <xdr:cNvPr id="19" name="Straight Connector 18">
          <a:extLst>
            <a:ext uri="{FF2B5EF4-FFF2-40B4-BE49-F238E27FC236}">
              <a16:creationId xmlns:a16="http://schemas.microsoft.com/office/drawing/2014/main" id="{56A6D0D6-8E58-6A3D-B43C-63F3554F2422}"/>
            </a:ext>
          </a:extLst>
        </xdr:cNvPr>
        <xdr:cNvCxnSpPr/>
      </xdr:nvCxnSpPr>
      <xdr:spPr>
        <a:xfrm>
          <a:off x="9820275" y="23602950"/>
          <a:ext cx="425450" cy="0"/>
        </a:xfrm>
        <a:prstGeom prst="line">
          <a:avLst/>
        </a:prstGeom>
        <a:solidFill>
          <a:schemeClr val="accent5">
            <a:lumMod val="50000"/>
          </a:schemeClr>
        </a:solidFill>
      </xdr:spPr>
      <xdr:style>
        <a:lnRef idx="2">
          <a:schemeClr val="accent1">
            <a:shade val="15000"/>
          </a:schemeClr>
        </a:lnRef>
        <a:fillRef idx="1">
          <a:schemeClr val="accent1"/>
        </a:fillRef>
        <a:effectRef idx="0">
          <a:schemeClr val="accent1"/>
        </a:effectRef>
        <a:fontRef idx="minor">
          <a:schemeClr val="lt1"/>
        </a:fontRef>
      </xdr:style>
    </xdr:cxnSp>
    <xdr:clientData/>
  </xdr:twoCellAnchor>
  <xdr:twoCellAnchor>
    <xdr:from>
      <xdr:col>16</xdr:col>
      <xdr:colOff>523875</xdr:colOff>
      <xdr:row>13</xdr:row>
      <xdr:rowOff>142874</xdr:rowOff>
    </xdr:from>
    <xdr:to>
      <xdr:col>21</xdr:col>
      <xdr:colOff>123825</xdr:colOff>
      <xdr:row>29</xdr:row>
      <xdr:rowOff>69849</xdr:rowOff>
    </xdr:to>
    <xdr:sp macro="" textlink="">
      <xdr:nvSpPr>
        <xdr:cNvPr id="4" name="Callout: Line 3">
          <a:extLst>
            <a:ext uri="{FF2B5EF4-FFF2-40B4-BE49-F238E27FC236}">
              <a16:creationId xmlns:a16="http://schemas.microsoft.com/office/drawing/2014/main" id="{282FDFFA-4EF8-4FD2-BD59-B7D67007CE14}"/>
            </a:ext>
          </a:extLst>
        </xdr:cNvPr>
        <xdr:cNvSpPr/>
      </xdr:nvSpPr>
      <xdr:spPr>
        <a:xfrm>
          <a:off x="10277475" y="2790824"/>
          <a:ext cx="2647950" cy="2517775"/>
        </a:xfrm>
        <a:prstGeom prst="borderCallout1">
          <a:avLst>
            <a:gd name="adj1" fmla="val 56503"/>
            <a:gd name="adj2" fmla="val -3070"/>
            <a:gd name="adj3" fmla="val 59826"/>
            <a:gd name="adj4" fmla="val -109385"/>
          </a:avLst>
        </a:prstGeom>
        <a:solidFill>
          <a:schemeClr val="accent5">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000">
              <a:solidFill>
                <a:schemeClr val="bg1"/>
              </a:solidFill>
              <a:latin typeface="Poppins regular"/>
            </a:rPr>
            <a:t>This graphic</a:t>
          </a:r>
          <a:r>
            <a:rPr lang="en-AU" sz="1000" baseline="0">
              <a:solidFill>
                <a:schemeClr val="bg1"/>
              </a:solidFill>
              <a:latin typeface="Poppins regular"/>
            </a:rPr>
            <a:t> shows the general architecture of the calculator. The calculation method is a "bottom-up first principles" approach whereby easy to understand basic quantities (such as hourly rate for a crane) are combined with productivity and other assumptions to build activity rates (e.g. remove a solar panel). The activity rates are combined with user input quantities to estimate the cost for an activity and the activity costs are summed for each project.</a:t>
          </a:r>
          <a:endParaRPr lang="en-AU" sz="1000">
            <a:solidFill>
              <a:schemeClr val="bg1"/>
            </a:solidFill>
            <a:latin typeface="Poppins regular"/>
          </a:endParaRPr>
        </a:p>
      </xdr:txBody>
    </xdr:sp>
    <xdr:clientData/>
  </xdr:twoCellAnchor>
  <xdr:twoCellAnchor editAs="oneCell">
    <xdr:from>
      <xdr:col>1</xdr:col>
      <xdr:colOff>9525</xdr:colOff>
      <xdr:row>13</xdr:row>
      <xdr:rowOff>149619</xdr:rowOff>
    </xdr:from>
    <xdr:to>
      <xdr:col>13</xdr:col>
      <xdr:colOff>77931</xdr:colOff>
      <xdr:row>33</xdr:row>
      <xdr:rowOff>76925</xdr:rowOff>
    </xdr:to>
    <xdr:pic>
      <xdr:nvPicPr>
        <xdr:cNvPr id="5" name="Picture 4">
          <a:extLst>
            <a:ext uri="{FF2B5EF4-FFF2-40B4-BE49-F238E27FC236}">
              <a16:creationId xmlns:a16="http://schemas.microsoft.com/office/drawing/2014/main" id="{F805831B-DD72-4FFA-773A-0FBC8DBB936D}"/>
            </a:ext>
          </a:extLst>
        </xdr:cNvPr>
        <xdr:cNvPicPr>
          <a:picLocks noChangeAspect="1"/>
        </xdr:cNvPicPr>
      </xdr:nvPicPr>
      <xdr:blipFill>
        <a:blip xmlns:r="http://schemas.openxmlformats.org/officeDocument/2006/relationships" r:embed="rId6"/>
        <a:stretch>
          <a:fillRect/>
        </a:stretch>
      </xdr:blipFill>
      <xdr:spPr>
        <a:xfrm>
          <a:off x="352425" y="2940444"/>
          <a:ext cx="7555056" cy="3165806"/>
        </a:xfrm>
        <a:prstGeom prst="rect">
          <a:avLst/>
        </a:prstGeom>
      </xdr:spPr>
    </xdr:pic>
    <xdr:clientData/>
  </xdr:twoCellAnchor>
  <xdr:twoCellAnchor>
    <xdr:from>
      <xdr:col>15</xdr:col>
      <xdr:colOff>187698</xdr:colOff>
      <xdr:row>118</xdr:row>
      <xdr:rowOff>65181</xdr:rowOff>
    </xdr:from>
    <xdr:to>
      <xdr:col>17</xdr:col>
      <xdr:colOff>203573</xdr:colOff>
      <xdr:row>122</xdr:row>
      <xdr:rowOff>84231</xdr:rowOff>
    </xdr:to>
    <xdr:sp macro="" textlink="">
      <xdr:nvSpPr>
        <xdr:cNvPr id="6" name="Callout: Line 5">
          <a:extLst>
            <a:ext uri="{FF2B5EF4-FFF2-40B4-BE49-F238E27FC236}">
              <a16:creationId xmlns:a16="http://schemas.microsoft.com/office/drawing/2014/main" id="{69CEAA2A-F9B9-46DC-9EA7-8109C8387B20}"/>
            </a:ext>
          </a:extLst>
        </xdr:cNvPr>
        <xdr:cNvSpPr/>
      </xdr:nvSpPr>
      <xdr:spPr>
        <a:xfrm>
          <a:off x="8838639" y="23877681"/>
          <a:ext cx="1181287" cy="646579"/>
        </a:xfrm>
        <a:prstGeom prst="borderCallout1">
          <a:avLst>
            <a:gd name="adj1" fmla="val -13749"/>
            <a:gd name="adj2" fmla="val 75817"/>
            <a:gd name="adj3" fmla="val -128621"/>
            <a:gd name="adj4" fmla="val 89253"/>
          </a:avLst>
        </a:prstGeom>
        <a:solidFill>
          <a:schemeClr val="accent5">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000">
              <a:solidFill>
                <a:schemeClr val="bg1"/>
              </a:solidFill>
              <a:latin typeface="Poppins regular"/>
            </a:rPr>
            <a:t>Cells</a:t>
          </a:r>
          <a:r>
            <a:rPr lang="en-AU" sz="1000" baseline="0">
              <a:solidFill>
                <a:schemeClr val="bg1"/>
              </a:solidFill>
              <a:latin typeface="Poppins regular"/>
            </a:rPr>
            <a:t> for User to enter project specific rate </a:t>
          </a:r>
          <a:endParaRPr lang="en-AU" sz="1000">
            <a:solidFill>
              <a:schemeClr val="bg1"/>
            </a:solidFill>
            <a:latin typeface="Poppins regular"/>
          </a:endParaRPr>
        </a:p>
      </xdr:txBody>
    </xdr:sp>
    <xdr:clientData/>
  </xdr:twoCellAnchor>
  <xdr:twoCellAnchor>
    <xdr:from>
      <xdr:col>8</xdr:col>
      <xdr:colOff>256243</xdr:colOff>
      <xdr:row>92</xdr:row>
      <xdr:rowOff>85912</xdr:rowOff>
    </xdr:from>
    <xdr:to>
      <xdr:col>11</xdr:col>
      <xdr:colOff>100855</xdr:colOff>
      <xdr:row>96</xdr:row>
      <xdr:rowOff>22413</xdr:rowOff>
    </xdr:to>
    <xdr:sp macro="" textlink="">
      <xdr:nvSpPr>
        <xdr:cNvPr id="8" name="Callout: Line 7">
          <a:extLst>
            <a:ext uri="{FF2B5EF4-FFF2-40B4-BE49-F238E27FC236}">
              <a16:creationId xmlns:a16="http://schemas.microsoft.com/office/drawing/2014/main" id="{9246F31C-7108-4851-B392-172C8933E78C}"/>
            </a:ext>
          </a:extLst>
        </xdr:cNvPr>
        <xdr:cNvSpPr/>
      </xdr:nvSpPr>
      <xdr:spPr>
        <a:xfrm>
          <a:off x="4828243" y="19819471"/>
          <a:ext cx="1592730" cy="564030"/>
        </a:xfrm>
        <a:prstGeom prst="borderCallout1">
          <a:avLst>
            <a:gd name="adj1" fmla="val 56503"/>
            <a:gd name="adj2" fmla="val -3070"/>
            <a:gd name="adj3" fmla="val 45601"/>
            <a:gd name="adj4" fmla="val -62674"/>
          </a:avLst>
        </a:prstGeom>
        <a:solidFill>
          <a:schemeClr val="accent5">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000">
              <a:solidFill>
                <a:schemeClr val="bg1"/>
              </a:solidFill>
              <a:latin typeface="Poppins regular"/>
            </a:rPr>
            <a:t>Live User-entered</a:t>
          </a:r>
          <a:r>
            <a:rPr lang="en-AU" sz="1000" baseline="0">
              <a:solidFill>
                <a:schemeClr val="bg1"/>
              </a:solidFill>
              <a:latin typeface="Poppins regular"/>
            </a:rPr>
            <a:t> project quantities used in calculations</a:t>
          </a:r>
          <a:endParaRPr lang="en-AU" sz="1000">
            <a:solidFill>
              <a:schemeClr val="bg1"/>
            </a:solidFill>
            <a:latin typeface="Poppins regular"/>
          </a:endParaRPr>
        </a:p>
      </xdr:txBody>
    </xdr:sp>
    <xdr:clientData/>
  </xdr:twoCellAnchor>
  <xdr:twoCellAnchor>
    <xdr:from>
      <xdr:col>3</xdr:col>
      <xdr:colOff>108136</xdr:colOff>
      <xdr:row>200</xdr:row>
      <xdr:rowOff>66673</xdr:rowOff>
    </xdr:from>
    <xdr:to>
      <xdr:col>5</xdr:col>
      <xdr:colOff>336737</xdr:colOff>
      <xdr:row>204</xdr:row>
      <xdr:rowOff>145676</xdr:rowOff>
    </xdr:to>
    <xdr:sp macro="" textlink="">
      <xdr:nvSpPr>
        <xdr:cNvPr id="24" name="Callout: Line 23">
          <a:extLst>
            <a:ext uri="{FF2B5EF4-FFF2-40B4-BE49-F238E27FC236}">
              <a16:creationId xmlns:a16="http://schemas.microsoft.com/office/drawing/2014/main" id="{E271A905-83E2-463B-91A9-4A3D2AE89AB0}"/>
            </a:ext>
          </a:extLst>
        </xdr:cNvPr>
        <xdr:cNvSpPr/>
      </xdr:nvSpPr>
      <xdr:spPr>
        <a:xfrm>
          <a:off x="1766607" y="36810761"/>
          <a:ext cx="1394012" cy="706533"/>
        </a:xfrm>
        <a:prstGeom prst="borderCallout1">
          <a:avLst>
            <a:gd name="adj1" fmla="val -6163"/>
            <a:gd name="adj2" fmla="val 76966"/>
            <a:gd name="adj3" fmla="val -36078"/>
            <a:gd name="adj4" fmla="val 122254"/>
          </a:avLst>
        </a:prstGeom>
        <a:solidFill>
          <a:schemeClr val="accent5">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000">
              <a:solidFill>
                <a:schemeClr val="bg1"/>
              </a:solidFill>
              <a:latin typeface="Poppins regular"/>
            </a:rPr>
            <a:t>Cells for Users to enter</a:t>
          </a:r>
          <a:r>
            <a:rPr lang="en-AU" sz="1000" baseline="0">
              <a:solidFill>
                <a:schemeClr val="bg1"/>
              </a:solidFill>
              <a:latin typeface="Poppins regular"/>
            </a:rPr>
            <a:t> project specific unit cost rates</a:t>
          </a:r>
          <a:endParaRPr lang="en-AU" sz="1000">
            <a:solidFill>
              <a:schemeClr val="bg1"/>
            </a:solidFill>
            <a:latin typeface="Poppins regular"/>
          </a:endParaRPr>
        </a:p>
      </xdr:txBody>
    </xdr:sp>
    <xdr:clientData/>
  </xdr:twoCellAnchor>
  <xdr:twoCellAnchor>
    <xdr:from>
      <xdr:col>8</xdr:col>
      <xdr:colOff>493806</xdr:colOff>
      <xdr:row>201</xdr:row>
      <xdr:rowOff>44823</xdr:rowOff>
    </xdr:from>
    <xdr:to>
      <xdr:col>11</xdr:col>
      <xdr:colOff>139700</xdr:colOff>
      <xdr:row>204</xdr:row>
      <xdr:rowOff>56029</xdr:rowOff>
    </xdr:to>
    <xdr:sp macro="" textlink="">
      <xdr:nvSpPr>
        <xdr:cNvPr id="27" name="Callout: Line 26">
          <a:extLst>
            <a:ext uri="{FF2B5EF4-FFF2-40B4-BE49-F238E27FC236}">
              <a16:creationId xmlns:a16="http://schemas.microsoft.com/office/drawing/2014/main" id="{472708EF-FB8A-43E9-A000-D41B1E8ADDF5}"/>
            </a:ext>
          </a:extLst>
        </xdr:cNvPr>
        <xdr:cNvSpPr/>
      </xdr:nvSpPr>
      <xdr:spPr>
        <a:xfrm>
          <a:off x="5065806" y="36945794"/>
          <a:ext cx="1394012" cy="481853"/>
        </a:xfrm>
        <a:prstGeom prst="borderCallout1">
          <a:avLst>
            <a:gd name="adj1" fmla="val -3731"/>
            <a:gd name="adj2" fmla="val 17481"/>
            <a:gd name="adj3" fmla="val -72949"/>
            <a:gd name="adj4" fmla="val -30278"/>
          </a:avLst>
        </a:prstGeom>
        <a:solidFill>
          <a:schemeClr val="accent5">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000">
              <a:solidFill>
                <a:schemeClr val="bg1"/>
              </a:solidFill>
              <a:latin typeface="Poppins regular"/>
            </a:rPr>
            <a:t>Default</a:t>
          </a:r>
          <a:r>
            <a:rPr lang="en-AU" sz="1000" baseline="0">
              <a:solidFill>
                <a:schemeClr val="bg1"/>
              </a:solidFill>
              <a:latin typeface="Poppins regular"/>
            </a:rPr>
            <a:t> unit rates</a:t>
          </a:r>
          <a:endParaRPr lang="en-AU" sz="1000">
            <a:solidFill>
              <a:schemeClr val="bg1"/>
            </a:solidFill>
            <a:latin typeface="Poppins regular"/>
          </a:endParaRPr>
        </a:p>
      </xdr:txBody>
    </xdr:sp>
    <xdr:clientData/>
  </xdr:twoCellAnchor>
  <xdr:twoCellAnchor>
    <xdr:from>
      <xdr:col>9</xdr:col>
      <xdr:colOff>515469</xdr:colOff>
      <xdr:row>47</xdr:row>
      <xdr:rowOff>49302</xdr:rowOff>
    </xdr:from>
    <xdr:to>
      <xdr:col>11</xdr:col>
      <xdr:colOff>246530</xdr:colOff>
      <xdr:row>47</xdr:row>
      <xdr:rowOff>997322</xdr:rowOff>
    </xdr:to>
    <xdr:sp macro="" textlink="">
      <xdr:nvSpPr>
        <xdr:cNvPr id="18" name="Oval 17">
          <a:extLst>
            <a:ext uri="{FF2B5EF4-FFF2-40B4-BE49-F238E27FC236}">
              <a16:creationId xmlns:a16="http://schemas.microsoft.com/office/drawing/2014/main" id="{2DD90F3F-92AB-375C-6F7A-DBD77790FD4F}"/>
            </a:ext>
          </a:extLst>
        </xdr:cNvPr>
        <xdr:cNvSpPr/>
      </xdr:nvSpPr>
      <xdr:spPr>
        <a:xfrm>
          <a:off x="5670175" y="7983067"/>
          <a:ext cx="896473" cy="948020"/>
        </a:xfrm>
        <a:prstGeom prst="ellipse">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12</xdr:col>
      <xdr:colOff>129492</xdr:colOff>
      <xdr:row>52</xdr:row>
      <xdr:rowOff>423333</xdr:rowOff>
    </xdr:from>
    <xdr:to>
      <xdr:col>19</xdr:col>
      <xdr:colOff>139016</xdr:colOff>
      <xdr:row>52</xdr:row>
      <xdr:rowOff>1730128</xdr:rowOff>
    </xdr:to>
    <xdr:sp macro="" textlink="">
      <xdr:nvSpPr>
        <xdr:cNvPr id="25" name="Oval 24">
          <a:extLst>
            <a:ext uri="{FF2B5EF4-FFF2-40B4-BE49-F238E27FC236}">
              <a16:creationId xmlns:a16="http://schemas.microsoft.com/office/drawing/2014/main" id="{33E581E7-B182-47F6-88EE-FEB5082AB590}"/>
            </a:ext>
          </a:extLst>
        </xdr:cNvPr>
        <xdr:cNvSpPr/>
      </xdr:nvSpPr>
      <xdr:spPr>
        <a:xfrm>
          <a:off x="7029825" y="11472333"/>
          <a:ext cx="4084108" cy="1306795"/>
        </a:xfrm>
        <a:prstGeom prst="ellipse">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5</xdr:col>
      <xdr:colOff>343646</xdr:colOff>
      <xdr:row>56</xdr:row>
      <xdr:rowOff>551889</xdr:rowOff>
    </xdr:from>
    <xdr:to>
      <xdr:col>7</xdr:col>
      <xdr:colOff>145675</xdr:colOff>
      <xdr:row>56</xdr:row>
      <xdr:rowOff>918882</xdr:rowOff>
    </xdr:to>
    <xdr:sp macro="" textlink="">
      <xdr:nvSpPr>
        <xdr:cNvPr id="28" name="Oval 27">
          <a:extLst>
            <a:ext uri="{FF2B5EF4-FFF2-40B4-BE49-F238E27FC236}">
              <a16:creationId xmlns:a16="http://schemas.microsoft.com/office/drawing/2014/main" id="{A4ACD18E-6B5B-43D5-9CA1-CA5E0FD97C2A}"/>
            </a:ext>
          </a:extLst>
        </xdr:cNvPr>
        <xdr:cNvSpPr/>
      </xdr:nvSpPr>
      <xdr:spPr>
        <a:xfrm>
          <a:off x="3167528" y="13461065"/>
          <a:ext cx="967441" cy="366993"/>
        </a:xfrm>
        <a:prstGeom prst="ellipse">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21</xdr:col>
      <xdr:colOff>65554</xdr:colOff>
      <xdr:row>118</xdr:row>
      <xdr:rowOff>98799</xdr:rowOff>
    </xdr:from>
    <xdr:to>
      <xdr:col>23</xdr:col>
      <xdr:colOff>381000</xdr:colOff>
      <xdr:row>121</xdr:row>
      <xdr:rowOff>145678</xdr:rowOff>
    </xdr:to>
    <xdr:sp macro="" textlink="">
      <xdr:nvSpPr>
        <xdr:cNvPr id="38" name="Callout: Line 37">
          <a:extLst>
            <a:ext uri="{FF2B5EF4-FFF2-40B4-BE49-F238E27FC236}">
              <a16:creationId xmlns:a16="http://schemas.microsoft.com/office/drawing/2014/main" id="{9F06991E-D3AE-4E71-9F47-55B5F084660B}"/>
            </a:ext>
          </a:extLst>
        </xdr:cNvPr>
        <xdr:cNvSpPr/>
      </xdr:nvSpPr>
      <xdr:spPr>
        <a:xfrm>
          <a:off x="12212730" y="23911299"/>
          <a:ext cx="1480858" cy="517526"/>
        </a:xfrm>
        <a:prstGeom prst="borderCallout1">
          <a:avLst>
            <a:gd name="adj1" fmla="val -3115"/>
            <a:gd name="adj2" fmla="val 20593"/>
            <a:gd name="adj3" fmla="val -54458"/>
            <a:gd name="adj4" fmla="val 6203"/>
          </a:avLst>
        </a:prstGeom>
        <a:solidFill>
          <a:schemeClr val="accent5">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000">
              <a:solidFill>
                <a:schemeClr val="bg1"/>
              </a:solidFill>
              <a:latin typeface="Poppins regular"/>
            </a:rPr>
            <a:t>Total</a:t>
          </a:r>
          <a:r>
            <a:rPr lang="en-AU" sz="1000" baseline="0">
              <a:solidFill>
                <a:schemeClr val="bg1"/>
              </a:solidFill>
              <a:latin typeface="Poppins regular"/>
            </a:rPr>
            <a:t> cost of element </a:t>
          </a:r>
          <a:endParaRPr lang="en-AU" sz="1000">
            <a:solidFill>
              <a:schemeClr val="bg1"/>
            </a:solidFill>
            <a:latin typeface="Poppins regular"/>
          </a:endParaRPr>
        </a:p>
      </xdr:txBody>
    </xdr:sp>
    <xdr:clientData/>
  </xdr:twoCellAnchor>
  <xdr:twoCellAnchor editAs="oneCell">
    <xdr:from>
      <xdr:col>1</xdr:col>
      <xdr:colOff>38100</xdr:colOff>
      <xdr:row>1</xdr:row>
      <xdr:rowOff>9525</xdr:rowOff>
    </xdr:from>
    <xdr:to>
      <xdr:col>5</xdr:col>
      <xdr:colOff>91527</xdr:colOff>
      <xdr:row>5</xdr:row>
      <xdr:rowOff>46454</xdr:rowOff>
    </xdr:to>
    <xdr:pic>
      <xdr:nvPicPr>
        <xdr:cNvPr id="2" name="Picture 1" descr="Government of South Australia logo - Home">
          <a:extLst>
            <a:ext uri="{FF2B5EF4-FFF2-40B4-BE49-F238E27FC236}">
              <a16:creationId xmlns:a16="http://schemas.microsoft.com/office/drawing/2014/main" id="{2ED8BFEE-C6B9-461E-9B63-2ED80CAE949D}"/>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361950" y="171450"/>
          <a:ext cx="2548977" cy="6846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50</xdr:row>
      <xdr:rowOff>123265</xdr:rowOff>
    </xdr:from>
    <xdr:to>
      <xdr:col>12</xdr:col>
      <xdr:colOff>392205</xdr:colOff>
      <xdr:row>50</xdr:row>
      <xdr:rowOff>1663845</xdr:rowOff>
    </xdr:to>
    <xdr:pic>
      <xdr:nvPicPr>
        <xdr:cNvPr id="14" name="Picture 13">
          <a:extLst>
            <a:ext uri="{FF2B5EF4-FFF2-40B4-BE49-F238E27FC236}">
              <a16:creationId xmlns:a16="http://schemas.microsoft.com/office/drawing/2014/main" id="{6B2FF09B-78FB-11B9-A1D6-4C1C80AF8504}"/>
            </a:ext>
          </a:extLst>
        </xdr:cNvPr>
        <xdr:cNvPicPr>
          <a:picLocks noChangeAspect="1"/>
        </xdr:cNvPicPr>
      </xdr:nvPicPr>
      <xdr:blipFill>
        <a:blip xmlns:r="http://schemas.openxmlformats.org/officeDocument/2006/relationships" r:embed="rId8"/>
        <a:stretch>
          <a:fillRect/>
        </a:stretch>
      </xdr:blipFill>
      <xdr:spPr>
        <a:xfrm>
          <a:off x="2241176" y="9424147"/>
          <a:ext cx="5053853" cy="1540580"/>
        </a:xfrm>
        <a:prstGeom prst="rect">
          <a:avLst/>
        </a:prstGeom>
      </xdr:spPr>
    </xdr:pic>
    <xdr:clientData/>
  </xdr:twoCellAnchor>
  <xdr:twoCellAnchor>
    <xdr:from>
      <xdr:col>10</xdr:col>
      <xdr:colOff>85163</xdr:colOff>
      <xdr:row>50</xdr:row>
      <xdr:rowOff>504265</xdr:rowOff>
    </xdr:from>
    <xdr:to>
      <xdr:col>11</xdr:col>
      <xdr:colOff>347382</xdr:colOff>
      <xdr:row>50</xdr:row>
      <xdr:rowOff>1407457</xdr:rowOff>
    </xdr:to>
    <xdr:sp macro="" textlink="">
      <xdr:nvSpPr>
        <xdr:cNvPr id="17" name="Oval 16">
          <a:extLst>
            <a:ext uri="{FF2B5EF4-FFF2-40B4-BE49-F238E27FC236}">
              <a16:creationId xmlns:a16="http://schemas.microsoft.com/office/drawing/2014/main" id="{DD76D6EC-385E-48E0-B5A0-C3D4891832C9}"/>
            </a:ext>
          </a:extLst>
        </xdr:cNvPr>
        <xdr:cNvSpPr/>
      </xdr:nvSpPr>
      <xdr:spPr>
        <a:xfrm>
          <a:off x="5822575" y="9805147"/>
          <a:ext cx="844925" cy="903192"/>
        </a:xfrm>
        <a:prstGeom prst="ellipse">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editAs="oneCell">
    <xdr:from>
      <xdr:col>3</xdr:col>
      <xdr:colOff>560294</xdr:colOff>
      <xdr:row>65</xdr:row>
      <xdr:rowOff>112058</xdr:rowOff>
    </xdr:from>
    <xdr:to>
      <xdr:col>11</xdr:col>
      <xdr:colOff>196743</xdr:colOff>
      <xdr:row>78</xdr:row>
      <xdr:rowOff>158749</xdr:rowOff>
    </xdr:to>
    <xdr:pic>
      <xdr:nvPicPr>
        <xdr:cNvPr id="26" name="Picture 25">
          <a:extLst>
            <a:ext uri="{FF2B5EF4-FFF2-40B4-BE49-F238E27FC236}">
              <a16:creationId xmlns:a16="http://schemas.microsoft.com/office/drawing/2014/main" id="{5CE7868C-CBC3-D0F8-7B24-7B2B12C9EB2F}"/>
            </a:ext>
          </a:extLst>
        </xdr:cNvPr>
        <xdr:cNvPicPr>
          <a:picLocks noChangeAspect="1"/>
        </xdr:cNvPicPr>
      </xdr:nvPicPr>
      <xdr:blipFill>
        <a:blip xmlns:r="http://schemas.openxmlformats.org/officeDocument/2006/relationships" r:embed="rId9"/>
        <a:stretch>
          <a:fillRect/>
        </a:stretch>
      </xdr:blipFill>
      <xdr:spPr>
        <a:xfrm>
          <a:off x="2221877" y="15743641"/>
          <a:ext cx="4293116" cy="2110441"/>
        </a:xfrm>
        <a:prstGeom prst="rect">
          <a:avLst/>
        </a:prstGeom>
      </xdr:spPr>
    </xdr:pic>
    <xdr:clientData/>
  </xdr:twoCellAnchor>
  <xdr:twoCellAnchor editAs="oneCell">
    <xdr:from>
      <xdr:col>0</xdr:col>
      <xdr:colOff>257734</xdr:colOff>
      <xdr:row>127</xdr:row>
      <xdr:rowOff>11205</xdr:rowOff>
    </xdr:from>
    <xdr:to>
      <xdr:col>11</xdr:col>
      <xdr:colOff>358588</xdr:colOff>
      <xdr:row>180</xdr:row>
      <xdr:rowOff>148288</xdr:rowOff>
    </xdr:to>
    <xdr:pic>
      <xdr:nvPicPr>
        <xdr:cNvPr id="21" name="Picture 20">
          <a:extLst>
            <a:ext uri="{FF2B5EF4-FFF2-40B4-BE49-F238E27FC236}">
              <a16:creationId xmlns:a16="http://schemas.microsoft.com/office/drawing/2014/main" id="{32025B75-0147-2D60-84ED-494F71C15CCF}"/>
            </a:ext>
          </a:extLst>
        </xdr:cNvPr>
        <xdr:cNvPicPr>
          <a:picLocks noChangeAspect="1"/>
        </xdr:cNvPicPr>
      </xdr:nvPicPr>
      <xdr:blipFill>
        <a:blip xmlns:r="http://schemas.openxmlformats.org/officeDocument/2006/relationships" r:embed="rId10"/>
        <a:stretch>
          <a:fillRect/>
        </a:stretch>
      </xdr:blipFill>
      <xdr:spPr>
        <a:xfrm>
          <a:off x="257734" y="25269264"/>
          <a:ext cx="6420972" cy="8451848"/>
        </a:xfrm>
        <a:prstGeom prst="rect">
          <a:avLst/>
        </a:prstGeom>
      </xdr:spPr>
    </xdr:pic>
    <xdr:clientData/>
  </xdr:twoCellAnchor>
  <xdr:twoCellAnchor>
    <xdr:from>
      <xdr:col>12</xdr:col>
      <xdr:colOff>201706</xdr:colOff>
      <xdr:row>142</xdr:row>
      <xdr:rowOff>0</xdr:rowOff>
    </xdr:from>
    <xdr:to>
      <xdr:col>15</xdr:col>
      <xdr:colOff>103656</xdr:colOff>
      <xdr:row>147</xdr:row>
      <xdr:rowOff>0</xdr:rowOff>
    </xdr:to>
    <xdr:sp macro="" textlink="">
      <xdr:nvSpPr>
        <xdr:cNvPr id="31" name="Callout: Line 30">
          <a:extLst>
            <a:ext uri="{FF2B5EF4-FFF2-40B4-BE49-F238E27FC236}">
              <a16:creationId xmlns:a16="http://schemas.microsoft.com/office/drawing/2014/main" id="{C377B1FF-1822-4DA0-87FC-1D17ED5D4AE9}"/>
            </a:ext>
          </a:extLst>
        </xdr:cNvPr>
        <xdr:cNvSpPr/>
      </xdr:nvSpPr>
      <xdr:spPr>
        <a:xfrm>
          <a:off x="7104530" y="27611294"/>
          <a:ext cx="1650067" cy="784412"/>
        </a:xfrm>
        <a:prstGeom prst="borderCallout1">
          <a:avLst>
            <a:gd name="adj1" fmla="val 50791"/>
            <a:gd name="adj2" fmla="val -3706"/>
            <a:gd name="adj3" fmla="val 42681"/>
            <a:gd name="adj4" fmla="val -53946"/>
          </a:avLst>
        </a:prstGeom>
        <a:solidFill>
          <a:schemeClr val="accent5">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000">
              <a:solidFill>
                <a:schemeClr val="bg1"/>
              </a:solidFill>
              <a:latin typeface="Poppins regular"/>
            </a:rPr>
            <a:t>Totals</a:t>
          </a:r>
          <a:r>
            <a:rPr lang="en-AU" sz="1000" baseline="0">
              <a:solidFill>
                <a:schemeClr val="bg1"/>
              </a:solidFill>
              <a:latin typeface="Poppins regular"/>
            </a:rPr>
            <a:t> feed in from input sheets </a:t>
          </a:r>
          <a:endParaRPr lang="en-AU" sz="1000">
            <a:solidFill>
              <a:schemeClr val="bg1"/>
            </a:solidFill>
            <a:latin typeface="Poppins regular"/>
          </a:endParaRP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hyperlink" Target="https://www.freighter.com.au/trailers/lusty-ems-chassis-tipper/"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ngineeringtoolbox.com/metal-alloys-densities-d_50.html%20%20(20%20to%2030%25%20swell)"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s://docslib.org/doc/2212090/technical-documentation-wind-turbine-generator-systems-3-6-137-50-60-hz" TargetMode="External"/><Relationship Id="rId3" Type="http://schemas.openxmlformats.org/officeDocument/2006/relationships/hyperlink" Target="https://www.goldwindamericas.com/sites/default/files/GW155-4.5MW-new.pdf" TargetMode="External"/><Relationship Id="rId7" Type="http://schemas.openxmlformats.org/officeDocument/2006/relationships/hyperlink" Target="https://www.vestas.com/en/energy-solutions/onshore-wind-turbines/enventus-platform/v162-6-2-mw" TargetMode="External"/><Relationship Id="rId2" Type="http://schemas.openxmlformats.org/officeDocument/2006/relationships/hyperlink" Target="https://www.thewindpower.net/wind-turbine-datasheet-175-enercon-e44-600.php?" TargetMode="External"/><Relationship Id="rId1" Type="http://schemas.openxmlformats.org/officeDocument/2006/relationships/hyperlink" Target="https://www.vestas.com/content/dam/vestas-com/global/en/sustainability/environment/2023_04_Material-Use-Brochure_Vestas.pdf.coredownload.inline.pdf" TargetMode="External"/><Relationship Id="rId6" Type="http://schemas.openxmlformats.org/officeDocument/2006/relationships/hyperlink" Target="https://www.vestas.com/content/dam/vestas-com/global/en/brochures/onshore/4MW_Platform_Brochure.pdf.coredownload.inline.pdf" TargetMode="External"/><Relationship Id="rId5" Type="http://schemas.openxmlformats.org/officeDocument/2006/relationships/hyperlink" Target="https://ia801900.us.archive.org/8/items/CDR-PDF-000038/CDR-PDF-000038-Brochures-Vestas-V112.pdf" TargetMode="External"/><Relationship Id="rId10" Type="http://schemas.openxmlformats.org/officeDocument/2006/relationships/hyperlink" Target="https://www.ledsjovind.se/ventosum/Vestas_V47.pdf" TargetMode="External"/><Relationship Id="rId4" Type="http://schemas.openxmlformats.org/officeDocument/2006/relationships/hyperlink" Target="https://www.nordex-online.com/en/product/n163-5-x/" TargetMode="External"/><Relationship Id="rId9" Type="http://schemas.openxmlformats.org/officeDocument/2006/relationships/hyperlink" Target="https://en.wind-turbine-models.com/turbines/1552-ge-vernova-ge-3.8-130" TargetMode="External"/></Relationships>
</file>

<file path=xl/worksheets/_rels/sheet14.xml.rels><?xml version="1.0" encoding="UTF-8" standalone="yes"?>
<Relationships xmlns="http://schemas.openxmlformats.org/package/2006/relationships"><Relationship Id="rId2" Type="http://schemas.openxmlformats.org/officeDocument/2006/relationships/hyperlink" Target="https://www.carverma.gov/sites/g/files/vyhlif4221/f/uploads/megapack_2_xl_datasheet_0.pdf" TargetMode="External"/><Relationship Id="rId1" Type="http://schemas.openxmlformats.org/officeDocument/2006/relationships/hyperlink" Target="https://marketingdocuments.energytoolbase.com/marketing/TeslaMegapack2Datasheet.pdf" TargetMode="External"/></Relationships>
</file>

<file path=xl/worksheets/_rels/sheet15.xml.rels><?xml version="1.0" encoding="UTF-8" standalone="yes"?>
<Relationships xmlns="http://schemas.openxmlformats.org/package/2006/relationships"><Relationship Id="rId2" Type="http://schemas.openxmlformats.org/officeDocument/2006/relationships/hyperlink" Target="https://nelhydrogen.com/product/psm-series-electrolyser/" TargetMode="External"/><Relationship Id="rId1" Type="http://schemas.openxmlformats.org/officeDocument/2006/relationships/hyperlink" Target="https://fest-group.de/en/solutions/pem-electrolyzers/"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3" Type="http://schemas.openxmlformats.org/officeDocument/2006/relationships/hyperlink" Target="https://www.epa.sa.gov.au/business_and_industry/waste-levy" TargetMode="External"/><Relationship Id="rId2" Type="http://schemas.openxmlformats.org/officeDocument/2006/relationships/hyperlink" Target="https://srwra.com.au/media-downloads/gate-fees/Gate%20Fees%202025%20-%202026.pdf" TargetMode="External"/><Relationship Id="rId1" Type="http://schemas.openxmlformats.org/officeDocument/2006/relationships/hyperlink" Target="https://premier-metals.com.au/copper-scrap-prices/" TargetMode="External"/><Relationship Id="rId5" Type="http://schemas.openxmlformats.org/officeDocument/2006/relationships/hyperlink" Target="https://www.epa.sa.gov.au/business_and_industry/waste-levy" TargetMode="External"/><Relationship Id="rId4" Type="http://schemas.openxmlformats.org/officeDocument/2006/relationships/hyperlink" Target="https://www.epa.sa.gov.au/business_and_industry/waste-lev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C392F-9758-477C-BA78-9DF1CBF71F81}">
  <sheetPr codeName="Sheet2">
    <tabColor rgb="FFD9E1F2"/>
  </sheetPr>
  <dimension ref="B2:D50"/>
  <sheetViews>
    <sheetView showGridLines="0" zoomScaleNormal="100" workbookViewId="0">
      <pane ySplit="5" topLeftCell="A6" activePane="bottomLeft" state="frozen"/>
      <selection pane="bottomLeft"/>
    </sheetView>
  </sheetViews>
  <sheetFormatPr defaultColWidth="8.7265625" defaultRowHeight="12.5"/>
  <cols>
    <col min="1" max="1" width="5.453125" style="214" customWidth="1"/>
    <col min="2" max="2" width="10.81640625" style="214" customWidth="1"/>
    <col min="3" max="3" width="14.54296875" style="214" customWidth="1"/>
    <col min="4" max="4" width="114.26953125" style="214" customWidth="1"/>
    <col min="5" max="16384" width="8.7265625" style="214"/>
  </cols>
  <sheetData>
    <row r="2" spans="2:4" ht="69.75" customHeight="1"/>
    <row r="3" spans="2:4" ht="13.5" customHeight="1">
      <c r="B3" s="215" t="s">
        <v>0</v>
      </c>
      <c r="C3" s="216"/>
      <c r="D3" s="216"/>
    </row>
    <row r="4" spans="2:4" ht="3" customHeight="1">
      <c r="B4" s="2"/>
      <c r="C4" s="2"/>
      <c r="D4" s="2"/>
    </row>
    <row r="5" spans="2:4" ht="5.15" customHeight="1">
      <c r="B5" s="217"/>
      <c r="C5" s="217"/>
      <c r="D5" s="217"/>
    </row>
    <row r="6" spans="2:4">
      <c r="B6" s="218"/>
    </row>
    <row r="7" spans="2:4" ht="13">
      <c r="B7" s="219" t="s">
        <v>1</v>
      </c>
      <c r="C7" s="220"/>
      <c r="D7" s="221" t="s">
        <v>1121</v>
      </c>
    </row>
    <row r="8" spans="2:4">
      <c r="B8" s="218"/>
      <c r="C8" s="222"/>
    </row>
    <row r="9" spans="2:4" ht="13">
      <c r="B9" s="219" t="s">
        <v>2</v>
      </c>
      <c r="C9" s="220"/>
      <c r="D9" s="8"/>
    </row>
    <row r="10" spans="2:4">
      <c r="B10" s="218"/>
    </row>
    <row r="11" spans="2:4" ht="13">
      <c r="B11" s="219" t="s">
        <v>3</v>
      </c>
      <c r="C11" s="220"/>
      <c r="D11" s="9"/>
    </row>
    <row r="12" spans="2:4">
      <c r="D12" s="8"/>
    </row>
    <row r="13" spans="2:4">
      <c r="D13" s="8"/>
    </row>
    <row r="14" spans="2:4">
      <c r="D14" s="8"/>
    </row>
    <row r="15" spans="2:4">
      <c r="D15" s="8"/>
    </row>
    <row r="16" spans="2:4">
      <c r="D16" s="8"/>
    </row>
    <row r="18" spans="2:4" ht="13">
      <c r="B18" s="219" t="s">
        <v>4</v>
      </c>
      <c r="C18" s="220"/>
      <c r="D18" s="9"/>
    </row>
    <row r="19" spans="2:4">
      <c r="B19" s="218"/>
      <c r="C19" s="222"/>
      <c r="D19" s="9"/>
    </row>
    <row r="20" spans="2:4">
      <c r="B20" s="218"/>
      <c r="C20" s="222"/>
      <c r="D20" s="9"/>
    </row>
    <row r="21" spans="2:4">
      <c r="B21" s="218"/>
      <c r="C21" s="222"/>
      <c r="D21" s="9"/>
    </row>
    <row r="22" spans="2:4">
      <c r="B22" s="218"/>
      <c r="C22" s="222"/>
      <c r="D22" s="9"/>
    </row>
    <row r="23" spans="2:4">
      <c r="B23" s="218"/>
      <c r="C23" s="222"/>
      <c r="D23" s="9"/>
    </row>
    <row r="24" spans="2:4">
      <c r="B24" s="218"/>
      <c r="C24" s="222"/>
    </row>
    <row r="25" spans="2:4" ht="93" customHeight="1">
      <c r="B25" s="223" t="s">
        <v>5</v>
      </c>
      <c r="C25" s="224"/>
      <c r="D25" s="3" t="s">
        <v>1348</v>
      </c>
    </row>
    <row r="26" spans="2:4" ht="13">
      <c r="B26" s="225"/>
      <c r="C26" s="225"/>
      <c r="D26" s="225"/>
    </row>
    <row r="27" spans="2:4" ht="409.5" customHeight="1">
      <c r="B27" s="223" t="s">
        <v>6</v>
      </c>
      <c r="C27" s="224"/>
      <c r="D27" s="3" t="s">
        <v>1319</v>
      </c>
    </row>
    <row r="28" spans="2:4" ht="13">
      <c r="B28" s="225"/>
      <c r="C28" s="225"/>
      <c r="D28" s="225"/>
    </row>
    <row r="29" spans="2:4" ht="13">
      <c r="B29" s="219" t="s">
        <v>7</v>
      </c>
      <c r="C29" s="4" t="s">
        <v>1322</v>
      </c>
      <c r="D29" s="5" t="s">
        <v>8</v>
      </c>
    </row>
    <row r="30" spans="2:4" ht="13">
      <c r="B30" s="225"/>
      <c r="C30" s="4" t="s">
        <v>950</v>
      </c>
      <c r="D30" s="5" t="s">
        <v>10</v>
      </c>
    </row>
    <row r="31" spans="2:4" ht="13">
      <c r="B31" s="225"/>
      <c r="C31" s="4" t="s">
        <v>1323</v>
      </c>
      <c r="D31" s="5" t="s">
        <v>12</v>
      </c>
    </row>
    <row r="32" spans="2:4" ht="13">
      <c r="B32" s="225"/>
      <c r="C32" s="4" t="s">
        <v>1324</v>
      </c>
      <c r="D32" s="5" t="s">
        <v>14</v>
      </c>
    </row>
    <row r="33" spans="2:4" ht="13">
      <c r="B33" s="225"/>
      <c r="C33" s="4" t="s">
        <v>15</v>
      </c>
      <c r="D33" s="5" t="s">
        <v>1123</v>
      </c>
    </row>
    <row r="34" spans="2:4" ht="13">
      <c r="B34" s="225"/>
      <c r="C34" s="4" t="s">
        <v>1188</v>
      </c>
      <c r="D34" s="6" t="s">
        <v>1122</v>
      </c>
    </row>
    <row r="35" spans="2:4" ht="13">
      <c r="B35" s="225"/>
      <c r="C35" s="4" t="s">
        <v>1325</v>
      </c>
      <c r="D35" s="6" t="s">
        <v>1124</v>
      </c>
    </row>
    <row r="36" spans="2:4" ht="13">
      <c r="B36" s="225"/>
      <c r="C36" s="4" t="s">
        <v>464</v>
      </c>
      <c r="D36" s="5" t="s">
        <v>16</v>
      </c>
    </row>
    <row r="37" spans="2:4" ht="13">
      <c r="B37" s="225"/>
      <c r="C37" s="4" t="s">
        <v>17</v>
      </c>
      <c r="D37" s="5" t="s">
        <v>18</v>
      </c>
    </row>
    <row r="38" spans="2:4" ht="13">
      <c r="B38" s="225"/>
      <c r="C38" s="4" t="s">
        <v>19</v>
      </c>
      <c r="D38" s="5" t="s">
        <v>20</v>
      </c>
    </row>
    <row r="39" spans="2:4" ht="13">
      <c r="B39" s="225"/>
      <c r="C39" s="4" t="s">
        <v>21</v>
      </c>
      <c r="D39" s="5" t="s">
        <v>22</v>
      </c>
    </row>
    <row r="40" spans="2:4" ht="13">
      <c r="B40" s="225"/>
      <c r="C40" s="4" t="s">
        <v>23</v>
      </c>
      <c r="D40" s="5" t="s">
        <v>24</v>
      </c>
    </row>
    <row r="41" spans="2:4" ht="13">
      <c r="B41" s="225"/>
      <c r="C41" s="4" t="s">
        <v>25</v>
      </c>
      <c r="D41" s="5" t="s">
        <v>26</v>
      </c>
    </row>
    <row r="42" spans="2:4" ht="13">
      <c r="B42" s="225"/>
      <c r="C42" s="4" t="s">
        <v>27</v>
      </c>
      <c r="D42" s="5" t="s">
        <v>28</v>
      </c>
    </row>
    <row r="44" spans="2:4" ht="13">
      <c r="B44" s="220" t="s">
        <v>1125</v>
      </c>
      <c r="C44" s="7">
        <v>46010</v>
      </c>
      <c r="D44" s="5" t="s">
        <v>29</v>
      </c>
    </row>
    <row r="45" spans="2:4" ht="13">
      <c r="B45" s="225"/>
      <c r="C45" s="7">
        <v>46100</v>
      </c>
      <c r="D45" s="5" t="s">
        <v>30</v>
      </c>
    </row>
    <row r="46" spans="2:4" ht="13">
      <c r="B46" s="225"/>
      <c r="C46" s="7">
        <v>46122</v>
      </c>
      <c r="D46" s="5" t="s">
        <v>1316</v>
      </c>
    </row>
    <row r="47" spans="2:4">
      <c r="C47" s="7">
        <v>46122</v>
      </c>
      <c r="D47" s="5" t="s">
        <v>1317</v>
      </c>
    </row>
    <row r="48" spans="2:4">
      <c r="C48" s="7">
        <v>46162</v>
      </c>
      <c r="D48" s="5" t="s">
        <v>1349</v>
      </c>
    </row>
    <row r="49" spans="2:4">
      <c r="C49" s="7">
        <v>46164</v>
      </c>
      <c r="D49" s="5" t="s">
        <v>1354</v>
      </c>
    </row>
    <row r="50" spans="2:4" ht="13">
      <c r="B50" s="219"/>
    </row>
  </sheetData>
  <sheetProtection algorithmName="SHA-512" hashValue="YTTEbk1jxAO6ahM9qxuamCGdljWZ+YZXIT9BO0RHChlOwfIRzDLTno8k66i0tI1Yz79JdFdLBUFlxkmG096GxA==" saltValue="1mphAHFEGjVzPLHsgjznDA==" spinCount="100000" sheet="1" objects="1" scenarios="1" autoFilter="0"/>
  <hyperlinks>
    <hyperlink ref="C29" location="USER_GUIDE" display="User Guide" xr:uid="{D0E94A31-D0D1-4DDB-BB04-67F4C9EB0C42}"/>
    <hyperlink ref="C30" location="SUMMARY" display="Summary" xr:uid="{F3CFCFCC-A442-48A4-8CBF-111F2C4178A7}"/>
    <hyperlink ref="C31" location="SOLAR" display="Solar" xr:uid="{1414004F-C4EE-481B-BEAF-28AC7A17E265}"/>
    <hyperlink ref="C32" location="WIND" display="Wind" xr:uid="{986DEF0C-F592-4022-91E4-6A986854116F}"/>
    <hyperlink ref="C33" location="BESS" display="BESS" xr:uid="{BAB892D3-EE72-41F7-B960-3CBF6D6ED949}"/>
    <hyperlink ref="C36" location="Cost_Schedule" display="Cost_Schedule" xr:uid="{4FA29492-9324-493A-972A-C36C5781C8EE}"/>
    <hyperlink ref="C37" location="Rates" display="Rates" xr:uid="{E2A9B7A1-3DC1-4285-A839-BDF9C6719AD5}"/>
    <hyperlink ref="C38" location="Productivity" display="Productivity" xr:uid="{BB2C0C41-EB70-4AD3-A00E-FD2C38B00563}"/>
    <hyperlink ref="C39" location="Assumptions" display="Assumptions" xr:uid="{05546DA9-A745-4337-95FD-756D3546A1A3}"/>
    <hyperlink ref="C40" location="Panels" display="Panels" xr:uid="{19D564A5-5D3D-4F04-BF7A-30E7874E83F1}"/>
    <hyperlink ref="C41" location="Turbines" display="Turbines" xr:uid="{CEB6519B-B18E-4B2D-83C4-4D2210E57E2E}"/>
    <hyperlink ref="C42" location="Batteries" display="Batteries" xr:uid="{F5D94FBB-7697-42A9-94EC-3FD327E48543}"/>
    <hyperlink ref="C34" location="GREEN_HYDROGEN" display="Green Hydrogen" xr:uid="{76673629-85B6-4A84-8308-03C2BAEBAEC8}"/>
    <hyperlink ref="C35" location="BLUE_HYDROGEN" display="Blue Hydrogen" xr:uid="{9D637FD1-6B5E-4DDD-A2BC-1B732DF381C9}"/>
  </hyperlink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51D7B-914B-404F-B6DE-73D497CF0E86}">
  <sheetPr codeName="Sheet12">
    <tabColor theme="5" tint="0.39997558519241921"/>
  </sheetPr>
  <dimension ref="B2:P97"/>
  <sheetViews>
    <sheetView showGridLines="0" workbookViewId="0">
      <pane ySplit="5" topLeftCell="A6" activePane="bottomLeft" state="frozen"/>
      <selection pane="bottomLeft"/>
    </sheetView>
  </sheetViews>
  <sheetFormatPr defaultColWidth="8.7265625" defaultRowHeight="12.5"/>
  <cols>
    <col min="1" max="1" width="8.7265625" style="214"/>
    <col min="2" max="2" width="37.1796875" style="214" bestFit="1" customWidth="1"/>
    <col min="3" max="3" width="9.54296875" style="214" customWidth="1"/>
    <col min="4" max="4" width="9.1796875" style="214" customWidth="1"/>
    <col min="5" max="16384" width="8.7265625" style="214"/>
  </cols>
  <sheetData>
    <row r="2" spans="2:15" ht="13">
      <c r="B2" s="221" t="str">
        <f>Project_Name</f>
        <v xml:space="preserve">South Australia Hydrogen and Renewable Energy Restoration Cost Estimation Tool </v>
      </c>
    </row>
    <row r="4" spans="2:15" ht="13">
      <c r="B4" s="347" t="s">
        <v>19</v>
      </c>
      <c r="C4" s="236"/>
      <c r="D4" s="236"/>
      <c r="E4" s="236"/>
      <c r="F4" s="236"/>
      <c r="G4" s="236"/>
      <c r="H4" s="236"/>
      <c r="I4" s="236"/>
      <c r="J4" s="236"/>
      <c r="K4" s="236"/>
      <c r="L4" s="236"/>
      <c r="M4" s="236"/>
      <c r="N4" s="236"/>
      <c r="O4" s="236"/>
    </row>
    <row r="5" spans="2:15">
      <c r="B5" s="4" t="s">
        <v>31</v>
      </c>
    </row>
    <row r="6" spans="2:15" ht="13">
      <c r="B6" s="225" t="s">
        <v>470</v>
      </c>
    </row>
    <row r="7" spans="2:15">
      <c r="B7" s="151" t="s">
        <v>634</v>
      </c>
      <c r="C7" s="152">
        <v>100</v>
      </c>
      <c r="D7" s="214" t="s">
        <v>635</v>
      </c>
    </row>
    <row r="8" spans="2:15">
      <c r="B8" s="151" t="s">
        <v>636</v>
      </c>
      <c r="C8" s="152">
        <v>66.666666666666671</v>
      </c>
      <c r="D8" s="214" t="s">
        <v>635</v>
      </c>
    </row>
    <row r="9" spans="2:15">
      <c r="B9" s="151" t="s">
        <v>637</v>
      </c>
      <c r="C9" s="152">
        <v>50</v>
      </c>
      <c r="D9" s="214" t="s">
        <v>635</v>
      </c>
    </row>
    <row r="11" spans="2:15" ht="13">
      <c r="B11" s="225" t="s">
        <v>638</v>
      </c>
    </row>
    <row r="12" spans="2:15">
      <c r="B12" s="151" t="s">
        <v>639</v>
      </c>
      <c r="C12" s="153">
        <v>1</v>
      </c>
      <c r="D12" s="153">
        <v>1</v>
      </c>
      <c r="E12" s="153">
        <v>1</v>
      </c>
      <c r="F12" s="153">
        <v>1</v>
      </c>
      <c r="G12" s="153">
        <v>1</v>
      </c>
      <c r="H12" s="153">
        <v>1</v>
      </c>
      <c r="I12" s="153">
        <v>1</v>
      </c>
      <c r="J12" s="153">
        <v>2</v>
      </c>
      <c r="K12" s="153">
        <v>2</v>
      </c>
      <c r="L12" s="153">
        <v>3</v>
      </c>
      <c r="M12" s="153">
        <v>3</v>
      </c>
      <c r="N12" s="153">
        <v>3</v>
      </c>
      <c r="O12" s="153">
        <v>4</v>
      </c>
    </row>
    <row r="13" spans="2:15">
      <c r="B13" s="151" t="s">
        <v>640</v>
      </c>
      <c r="C13" s="153">
        <v>20</v>
      </c>
      <c r="D13" s="153">
        <v>50</v>
      </c>
      <c r="E13" s="153">
        <v>75</v>
      </c>
      <c r="F13" s="153">
        <v>100</v>
      </c>
      <c r="G13" s="153">
        <v>125</v>
      </c>
      <c r="H13" s="153">
        <v>150</v>
      </c>
      <c r="I13" s="153">
        <v>200</v>
      </c>
      <c r="J13" s="153">
        <v>250</v>
      </c>
      <c r="K13" s="153">
        <v>300</v>
      </c>
      <c r="L13" s="153">
        <v>350</v>
      </c>
      <c r="M13" s="153">
        <v>400</v>
      </c>
      <c r="N13" s="153">
        <v>450</v>
      </c>
      <c r="O13" s="153">
        <v>500</v>
      </c>
    </row>
    <row r="14" spans="2:15">
      <c r="B14" s="151" t="s">
        <v>641</v>
      </c>
      <c r="C14" s="154">
        <v>430</v>
      </c>
      <c r="D14" s="154">
        <v>195.75052015680001</v>
      </c>
      <c r="E14" s="154">
        <v>150.30843512039999</v>
      </c>
      <c r="F14" s="154">
        <v>104.86635008399999</v>
      </c>
      <c r="G14" s="154" t="s">
        <v>642</v>
      </c>
      <c r="H14" s="154" t="s">
        <v>642</v>
      </c>
      <c r="I14" s="154" t="s">
        <v>642</v>
      </c>
      <c r="J14" s="154" t="s">
        <v>642</v>
      </c>
      <c r="K14" s="154" t="s">
        <v>642</v>
      </c>
      <c r="L14" s="154" t="s">
        <v>642</v>
      </c>
      <c r="M14" s="154" t="s">
        <v>642</v>
      </c>
      <c r="N14" s="154" t="s">
        <v>642</v>
      </c>
      <c r="O14" s="154" t="s">
        <v>642</v>
      </c>
    </row>
    <row r="15" spans="2:15">
      <c r="B15" s="151" t="s">
        <v>643</v>
      </c>
      <c r="C15" s="154">
        <v>582.59083380000004</v>
      </c>
      <c r="D15" s="154">
        <v>349.55450028000001</v>
      </c>
      <c r="E15" s="154">
        <v>262.16587521000002</v>
      </c>
      <c r="F15" s="154">
        <v>174.77725014000001</v>
      </c>
      <c r="G15" s="154" t="s">
        <v>642</v>
      </c>
      <c r="H15" s="154" t="s">
        <v>642</v>
      </c>
      <c r="I15" s="154" t="s">
        <v>642</v>
      </c>
      <c r="J15" s="154" t="s">
        <v>642</v>
      </c>
      <c r="K15" s="154" t="s">
        <v>642</v>
      </c>
      <c r="L15" s="154" t="s">
        <v>642</v>
      </c>
      <c r="M15" s="154" t="s">
        <v>642</v>
      </c>
      <c r="N15" s="154" t="s">
        <v>642</v>
      </c>
      <c r="O15" s="154" t="s">
        <v>642</v>
      </c>
    </row>
    <row r="16" spans="2:15">
      <c r="B16" s="151" t="s">
        <v>552</v>
      </c>
      <c r="C16" s="154">
        <v>815.62716732000013</v>
      </c>
      <c r="D16" s="154">
        <v>442.76903368799998</v>
      </c>
      <c r="E16" s="154">
        <v>317.51200442099997</v>
      </c>
      <c r="F16" s="154">
        <v>192.25497515399999</v>
      </c>
      <c r="G16" s="154">
        <v>130.50034677120001</v>
      </c>
      <c r="H16" s="154">
        <v>97.098472300000012</v>
      </c>
      <c r="I16" s="154">
        <v>69.910900056000003</v>
      </c>
      <c r="J16" s="154" t="s">
        <v>642</v>
      </c>
      <c r="K16" s="154" t="s">
        <v>642</v>
      </c>
      <c r="L16" s="154" t="s">
        <v>642</v>
      </c>
      <c r="M16" s="154" t="s">
        <v>642</v>
      </c>
      <c r="N16" s="154" t="s">
        <v>642</v>
      </c>
      <c r="O16" s="154" t="s">
        <v>642</v>
      </c>
    </row>
    <row r="17" spans="2:16">
      <c r="B17" s="151" t="s">
        <v>644</v>
      </c>
      <c r="C17" s="154">
        <v>1165.1816676000001</v>
      </c>
      <c r="D17" s="154">
        <v>652.5017338560001</v>
      </c>
      <c r="E17" s="154">
        <v>483.5503920540001</v>
      </c>
      <c r="F17" s="154">
        <v>314.59905025200004</v>
      </c>
      <c r="G17" s="154">
        <v>223.71488017920001</v>
      </c>
      <c r="H17" s="154">
        <v>194.19694460000002</v>
      </c>
      <c r="I17" s="154">
        <v>139.82180011200001</v>
      </c>
      <c r="J17" s="154">
        <v>298.86909773940005</v>
      </c>
      <c r="K17" s="154">
        <v>201.34339216128001</v>
      </c>
      <c r="L17" s="154">
        <v>190.15764815232001</v>
      </c>
      <c r="M17" s="154">
        <v>178.97190414336001</v>
      </c>
      <c r="N17" s="154">
        <v>167.78616013440001</v>
      </c>
      <c r="O17" s="154" t="s">
        <v>642</v>
      </c>
    </row>
    <row r="18" spans="2:16">
      <c r="B18" s="151" t="s">
        <v>645</v>
      </c>
      <c r="C18" s="154">
        <v>1631.2543346400003</v>
      </c>
      <c r="D18" s="154">
        <v>885.53806737599996</v>
      </c>
      <c r="E18" s="154">
        <v>661.2405963629999</v>
      </c>
      <c r="F18" s="154">
        <v>436.94312534999995</v>
      </c>
      <c r="G18" s="154">
        <v>372.85813363200003</v>
      </c>
      <c r="H18" s="154">
        <v>318.48298914400004</v>
      </c>
      <c r="I18" s="154">
        <v>244.68815019600004</v>
      </c>
      <c r="J18" s="154">
        <v>415.09596908249995</v>
      </c>
      <c r="K18" s="154">
        <v>393.24881281499995</v>
      </c>
      <c r="L18" s="154">
        <v>371.40165654749995</v>
      </c>
      <c r="M18" s="154">
        <v>349.55450027999996</v>
      </c>
      <c r="N18" s="154">
        <v>327.70734401249996</v>
      </c>
      <c r="O18" s="154">
        <v>354.21522695039999</v>
      </c>
    </row>
    <row r="19" spans="2:16">
      <c r="B19" s="151" t="s">
        <v>646</v>
      </c>
      <c r="C19" s="154">
        <v>2796.4360022400001</v>
      </c>
      <c r="D19" s="154">
        <v>1398.2180011200001</v>
      </c>
      <c r="E19" s="154">
        <v>1048.6635008400001</v>
      </c>
      <c r="F19" s="154">
        <v>699.10900056000003</v>
      </c>
      <c r="G19" s="154">
        <v>559.28720044800002</v>
      </c>
      <c r="H19" s="154">
        <v>466.07266704</v>
      </c>
      <c r="I19" s="154">
        <v>349.55450028000001</v>
      </c>
      <c r="J19" s="154">
        <v>664.15355053199994</v>
      </c>
      <c r="K19" s="154">
        <v>629.19810050400008</v>
      </c>
      <c r="L19" s="154">
        <v>594.24265047599999</v>
      </c>
      <c r="M19" s="154">
        <v>559.28720044800002</v>
      </c>
      <c r="N19" s="154">
        <v>524.33175042000005</v>
      </c>
      <c r="O19" s="154">
        <v>531.32284042560002</v>
      </c>
    </row>
    <row r="21" spans="2:16" ht="50">
      <c r="B21" s="225" t="s">
        <v>647</v>
      </c>
      <c r="C21" s="368" t="s">
        <v>1597</v>
      </c>
      <c r="D21" s="368" t="s">
        <v>1598</v>
      </c>
      <c r="E21" s="368" t="s">
        <v>1599</v>
      </c>
      <c r="F21" s="368" t="s">
        <v>1600</v>
      </c>
      <c r="G21" s="368" t="s">
        <v>1601</v>
      </c>
      <c r="H21" s="368" t="s">
        <v>1602</v>
      </c>
      <c r="I21" s="368" t="s">
        <v>1603</v>
      </c>
      <c r="J21" s="368" t="s">
        <v>1604</v>
      </c>
      <c r="K21" s="368" t="s">
        <v>1605</v>
      </c>
      <c r="L21" s="368" t="s">
        <v>1606</v>
      </c>
      <c r="M21" s="368" t="s">
        <v>1607</v>
      </c>
      <c r="N21" s="368" t="s">
        <v>1608</v>
      </c>
      <c r="O21" s="368" t="s">
        <v>1609</v>
      </c>
      <c r="P21" s="368" t="s">
        <v>1038</v>
      </c>
    </row>
    <row r="22" spans="2:16">
      <c r="B22" s="151" t="s">
        <v>641</v>
      </c>
      <c r="C22" s="154">
        <v>430</v>
      </c>
      <c r="D22" s="154">
        <v>312.8752600784</v>
      </c>
      <c r="E22" s="154">
        <v>173.02947763859999</v>
      </c>
      <c r="F22" s="154">
        <v>127.5873926022</v>
      </c>
      <c r="G22" s="154">
        <v>104.86635008399999</v>
      </c>
      <c r="H22" s="154" t="s">
        <v>642</v>
      </c>
      <c r="I22" s="154" t="s">
        <v>642</v>
      </c>
      <c r="J22" s="154" t="s">
        <v>642</v>
      </c>
      <c r="K22" s="154" t="s">
        <v>642</v>
      </c>
      <c r="L22" s="154" t="s">
        <v>642</v>
      </c>
      <c r="M22" s="154" t="s">
        <v>642</v>
      </c>
      <c r="N22" s="154" t="s">
        <v>642</v>
      </c>
      <c r="O22" s="154" t="s">
        <v>642</v>
      </c>
      <c r="P22" s="154" t="s">
        <v>642</v>
      </c>
    </row>
    <row r="23" spans="2:16">
      <c r="B23" s="151" t="s">
        <v>643</v>
      </c>
      <c r="C23" s="154">
        <v>582.59083380000004</v>
      </c>
      <c r="D23" s="154">
        <v>466.07266704000006</v>
      </c>
      <c r="E23" s="154">
        <v>305.86018774500002</v>
      </c>
      <c r="F23" s="154">
        <v>218.47156267500003</v>
      </c>
      <c r="G23" s="154">
        <v>174.77725014000001</v>
      </c>
      <c r="H23" s="154" t="s">
        <v>642</v>
      </c>
      <c r="I23" s="154" t="s">
        <v>642</v>
      </c>
      <c r="J23" s="154" t="s">
        <v>642</v>
      </c>
      <c r="K23" s="154" t="s">
        <v>642</v>
      </c>
      <c r="L23" s="154" t="s">
        <v>642</v>
      </c>
      <c r="M23" s="154" t="s">
        <v>642</v>
      </c>
      <c r="N23" s="154" t="s">
        <v>642</v>
      </c>
      <c r="O23" s="154" t="s">
        <v>642</v>
      </c>
      <c r="P23" s="154" t="s">
        <v>642</v>
      </c>
    </row>
    <row r="24" spans="2:16">
      <c r="B24" s="151" t="s">
        <v>552</v>
      </c>
      <c r="C24" s="154">
        <v>815.62716732000013</v>
      </c>
      <c r="D24" s="154">
        <v>629.19810050400008</v>
      </c>
      <c r="E24" s="154">
        <v>380.14051905449998</v>
      </c>
      <c r="F24" s="154">
        <v>254.88348978749997</v>
      </c>
      <c r="G24" s="154">
        <v>161.3776609626</v>
      </c>
      <c r="H24" s="154">
        <v>113.79940953560001</v>
      </c>
      <c r="I24" s="154">
        <v>83.504686178000014</v>
      </c>
      <c r="J24" s="154">
        <v>69.910900056000003</v>
      </c>
      <c r="K24" s="154" t="s">
        <v>642</v>
      </c>
      <c r="L24" s="154" t="s">
        <v>642</v>
      </c>
      <c r="M24" s="154" t="s">
        <v>642</v>
      </c>
      <c r="N24" s="154" t="s">
        <v>642</v>
      </c>
      <c r="O24" s="154" t="s">
        <v>642</v>
      </c>
      <c r="P24" s="154" t="s">
        <v>642</v>
      </c>
    </row>
    <row r="25" spans="2:16">
      <c r="B25" s="151" t="s">
        <v>644</v>
      </c>
      <c r="C25" s="154">
        <v>1165.1816676000001</v>
      </c>
      <c r="D25" s="154">
        <v>908.84170072800009</v>
      </c>
      <c r="E25" s="154">
        <v>568.02606295500004</v>
      </c>
      <c r="F25" s="154">
        <v>399.07472115300004</v>
      </c>
      <c r="G25" s="154">
        <v>269.15696521560005</v>
      </c>
      <c r="H25" s="154">
        <v>208.95591238960003</v>
      </c>
      <c r="I25" s="154">
        <v>167.00937235600003</v>
      </c>
      <c r="J25" s="154">
        <v>219.34544892570003</v>
      </c>
      <c r="K25" s="154">
        <v>250.10624495034003</v>
      </c>
      <c r="L25" s="154">
        <v>195.75052015680001</v>
      </c>
      <c r="M25" s="154">
        <v>184.56477614784001</v>
      </c>
      <c r="N25" s="154">
        <v>173.37903213888001</v>
      </c>
      <c r="O25" s="154">
        <v>167.78616013440001</v>
      </c>
      <c r="P25" s="154" t="s">
        <v>642</v>
      </c>
    </row>
    <row r="26" spans="2:16">
      <c r="B26" s="151" t="s">
        <v>645</v>
      </c>
      <c r="C26" s="154">
        <v>1631.2543346400003</v>
      </c>
      <c r="D26" s="154">
        <v>1258.3962010080002</v>
      </c>
      <c r="E26" s="154">
        <v>773.38933186949998</v>
      </c>
      <c r="F26" s="154">
        <v>549.09186085649992</v>
      </c>
      <c r="G26" s="154">
        <v>404.90062949100002</v>
      </c>
      <c r="H26" s="154">
        <v>345.67056138800001</v>
      </c>
      <c r="I26" s="154">
        <v>281.58556967000004</v>
      </c>
      <c r="J26" s="154">
        <v>329.89205963924996</v>
      </c>
      <c r="K26" s="154">
        <v>404.17239094874992</v>
      </c>
      <c r="L26" s="154">
        <v>382.32523468124998</v>
      </c>
      <c r="M26" s="154">
        <v>360.47807841374993</v>
      </c>
      <c r="N26" s="154">
        <v>338.63092214624999</v>
      </c>
      <c r="O26" s="154">
        <v>340.96128548144998</v>
      </c>
      <c r="P26" s="154">
        <v>354.21522695039999</v>
      </c>
    </row>
    <row r="27" spans="2:16">
      <c r="B27" s="151" t="s">
        <v>646</v>
      </c>
      <c r="C27" s="154">
        <v>2796.4360022400001</v>
      </c>
      <c r="D27" s="154">
        <v>2097.3270016800002</v>
      </c>
      <c r="E27" s="154">
        <v>1223.4407509800001</v>
      </c>
      <c r="F27" s="154">
        <v>873.88625070000012</v>
      </c>
      <c r="G27" s="154">
        <v>629.19810050399997</v>
      </c>
      <c r="H27" s="154">
        <v>512.67993374399998</v>
      </c>
      <c r="I27" s="154">
        <v>407.81358366000001</v>
      </c>
      <c r="J27" s="154">
        <v>506.85402540600001</v>
      </c>
      <c r="K27" s="154">
        <v>646.67582551800001</v>
      </c>
      <c r="L27" s="154">
        <v>611.72037549000004</v>
      </c>
      <c r="M27" s="154">
        <v>576.76492546200006</v>
      </c>
      <c r="N27" s="154">
        <v>541.80947543399998</v>
      </c>
      <c r="O27" s="154">
        <v>527.82729542280003</v>
      </c>
      <c r="P27" s="154">
        <v>531.32284042560002</v>
      </c>
    </row>
    <row r="29" spans="2:16" ht="13">
      <c r="B29" s="225" t="s">
        <v>648</v>
      </c>
    </row>
    <row r="30" spans="2:16" ht="13" customHeight="1">
      <c r="B30" s="218" t="s">
        <v>71</v>
      </c>
      <c r="C30" s="369" t="s">
        <v>552</v>
      </c>
    </row>
    <row r="31" spans="2:16">
      <c r="B31" s="151" t="s">
        <v>649</v>
      </c>
      <c r="C31" s="152">
        <v>1.6093</v>
      </c>
      <c r="D31" s="214" t="s">
        <v>650</v>
      </c>
    </row>
    <row r="32" spans="2:16">
      <c r="B32" s="151" t="s">
        <v>651</v>
      </c>
      <c r="C32" s="152">
        <v>3.2491680000000001</v>
      </c>
      <c r="D32" s="214" t="s">
        <v>227</v>
      </c>
    </row>
    <row r="33" spans="2:9">
      <c r="B33" s="151" t="s">
        <v>652</v>
      </c>
      <c r="C33" s="152">
        <v>3.2491680000000001</v>
      </c>
      <c r="D33" s="214" t="s">
        <v>227</v>
      </c>
    </row>
    <row r="34" spans="2:9">
      <c r="B34" s="151" t="s">
        <v>653</v>
      </c>
      <c r="C34" s="152">
        <v>10.557092692224</v>
      </c>
      <c r="D34" s="214" t="s">
        <v>203</v>
      </c>
    </row>
    <row r="35" spans="2:9">
      <c r="B35" s="151" t="s">
        <v>654</v>
      </c>
      <c r="C35" s="152">
        <v>0.8</v>
      </c>
      <c r="D35" s="214" t="s">
        <v>227</v>
      </c>
    </row>
    <row r="36" spans="2:9">
      <c r="B36" s="151" t="s">
        <v>655</v>
      </c>
      <c r="C36" s="152">
        <v>8.4456741537791995</v>
      </c>
      <c r="D36" s="214" t="s">
        <v>231</v>
      </c>
    </row>
    <row r="37" spans="2:9">
      <c r="B37" s="151" t="s">
        <v>656</v>
      </c>
      <c r="C37" s="154">
        <v>947.23048205929501</v>
      </c>
      <c r="D37" s="214" t="s">
        <v>657</v>
      </c>
    </row>
    <row r="38" spans="2:9">
      <c r="B38" s="151" t="s">
        <v>658</v>
      </c>
      <c r="C38" s="152">
        <v>1.9124532224766271</v>
      </c>
      <c r="D38" s="214" t="s">
        <v>659</v>
      </c>
    </row>
    <row r="40" spans="2:9" ht="13">
      <c r="B40" s="225" t="s">
        <v>660</v>
      </c>
    </row>
    <row r="41" spans="2:9">
      <c r="B41" s="151" t="s">
        <v>661</v>
      </c>
      <c r="C41" s="152">
        <v>0.2</v>
      </c>
      <c r="D41" s="214" t="s">
        <v>650</v>
      </c>
      <c r="E41" s="214">
        <v>4</v>
      </c>
      <c r="F41" s="214" t="s">
        <v>662</v>
      </c>
      <c r="H41" s="370">
        <v>50</v>
      </c>
      <c r="I41" s="214" t="s">
        <v>663</v>
      </c>
    </row>
    <row r="42" spans="2:9">
      <c r="B42" s="151" t="s">
        <v>664</v>
      </c>
      <c r="C42" s="152">
        <v>0.45</v>
      </c>
      <c r="D42" s="214" t="s">
        <v>650</v>
      </c>
      <c r="E42" s="214" t="s">
        <v>665</v>
      </c>
    </row>
    <row r="43" spans="2:9">
      <c r="B43" s="151" t="s">
        <v>666</v>
      </c>
      <c r="C43" s="152">
        <v>0.1</v>
      </c>
      <c r="D43" s="214" t="s">
        <v>650</v>
      </c>
      <c r="E43" s="214" t="s">
        <v>665</v>
      </c>
    </row>
    <row r="44" spans="2:9">
      <c r="B44" s="151" t="s">
        <v>667</v>
      </c>
      <c r="C44" s="152">
        <v>0.45</v>
      </c>
      <c r="D44" s="214" t="s">
        <v>650</v>
      </c>
      <c r="E44" s="214" t="s">
        <v>665</v>
      </c>
    </row>
    <row r="45" spans="2:9">
      <c r="B45" s="151" t="s">
        <v>668</v>
      </c>
      <c r="C45" s="152">
        <v>0.1</v>
      </c>
      <c r="D45" s="214" t="s">
        <v>650</v>
      </c>
      <c r="E45" s="214" t="s">
        <v>665</v>
      </c>
    </row>
    <row r="46" spans="2:9">
      <c r="B46" s="151" t="s">
        <v>669</v>
      </c>
      <c r="C46" s="152">
        <v>2</v>
      </c>
      <c r="D46" s="214" t="s">
        <v>650</v>
      </c>
      <c r="E46" s="214" t="s">
        <v>665</v>
      </c>
    </row>
    <row r="47" spans="2:9">
      <c r="B47" s="151" t="s">
        <v>670</v>
      </c>
      <c r="C47" s="152">
        <v>0.2</v>
      </c>
      <c r="D47" s="214" t="s">
        <v>650</v>
      </c>
      <c r="E47" s="214" t="s">
        <v>665</v>
      </c>
    </row>
    <row r="48" spans="2:9">
      <c r="B48" s="151" t="s">
        <v>671</v>
      </c>
      <c r="C48" s="152">
        <v>0.1</v>
      </c>
      <c r="D48" s="214" t="s">
        <v>650</v>
      </c>
      <c r="E48" s="214" t="s">
        <v>665</v>
      </c>
    </row>
    <row r="50" spans="2:5" ht="13">
      <c r="B50" s="225" t="s">
        <v>553</v>
      </c>
    </row>
    <row r="51" spans="2:5">
      <c r="B51" s="151" t="s">
        <v>672</v>
      </c>
      <c r="C51" s="155">
        <v>500</v>
      </c>
      <c r="D51" s="214" t="s">
        <v>673</v>
      </c>
    </row>
    <row r="52" spans="2:5">
      <c r="B52" s="151" t="s">
        <v>674</v>
      </c>
      <c r="C52" s="155">
        <v>144</v>
      </c>
      <c r="D52" s="214" t="s">
        <v>675</v>
      </c>
    </row>
    <row r="53" spans="2:5">
      <c r="B53" s="151" t="s">
        <v>676</v>
      </c>
      <c r="C53" s="155">
        <v>60</v>
      </c>
      <c r="D53" s="214" t="s">
        <v>675</v>
      </c>
    </row>
    <row r="54" spans="2:5">
      <c r="B54" s="151" t="s">
        <v>677</v>
      </c>
      <c r="C54" s="155">
        <v>180</v>
      </c>
      <c r="D54" s="214" t="s">
        <v>675</v>
      </c>
    </row>
    <row r="55" spans="2:5">
      <c r="B55" s="151" t="s">
        <v>678</v>
      </c>
      <c r="C55" s="155">
        <v>686.99999999999989</v>
      </c>
      <c r="D55" s="214" t="s">
        <v>675</v>
      </c>
    </row>
    <row r="56" spans="2:5">
      <c r="B56" s="151" t="s">
        <v>679</v>
      </c>
      <c r="C56" s="155">
        <v>1</v>
      </c>
      <c r="D56" s="214" t="s">
        <v>635</v>
      </c>
    </row>
    <row r="57" spans="2:5">
      <c r="B57" s="151" t="s">
        <v>680</v>
      </c>
      <c r="C57" s="155">
        <v>500</v>
      </c>
      <c r="D57" s="214" t="s">
        <v>673</v>
      </c>
    </row>
    <row r="58" spans="2:5">
      <c r="B58" s="151" t="s">
        <v>681</v>
      </c>
      <c r="C58" s="155">
        <v>50</v>
      </c>
      <c r="D58" s="214" t="s">
        <v>682</v>
      </c>
      <c r="E58" s="214" t="s">
        <v>683</v>
      </c>
    </row>
    <row r="60" spans="2:5" ht="13">
      <c r="B60" s="225" t="s">
        <v>684</v>
      </c>
    </row>
    <row r="61" spans="2:5" ht="25">
      <c r="B61" s="218" t="s">
        <v>71</v>
      </c>
      <c r="C61" s="369" t="s">
        <v>569</v>
      </c>
      <c r="D61" s="369" t="s">
        <v>570</v>
      </c>
    </row>
    <row r="62" spans="2:5">
      <c r="B62" s="151" t="s">
        <v>685</v>
      </c>
      <c r="C62" s="152">
        <v>5</v>
      </c>
      <c r="D62" s="152">
        <v>5</v>
      </c>
      <c r="E62" s="214" t="s">
        <v>650</v>
      </c>
    </row>
    <row r="63" spans="2:5">
      <c r="B63" s="151" t="s">
        <v>686</v>
      </c>
      <c r="C63" s="152">
        <v>3.17</v>
      </c>
      <c r="D63" s="152">
        <v>3.17</v>
      </c>
      <c r="E63" s="214" t="s">
        <v>227</v>
      </c>
    </row>
    <row r="64" spans="2:5">
      <c r="B64" s="151" t="s">
        <v>687</v>
      </c>
      <c r="C64" s="152">
        <v>0.6</v>
      </c>
      <c r="D64" s="152">
        <v>0.6</v>
      </c>
      <c r="E64" s="214" t="s">
        <v>227</v>
      </c>
    </row>
    <row r="65" spans="2:6">
      <c r="B65" s="151" t="s">
        <v>688</v>
      </c>
      <c r="C65" s="156">
        <v>0.85</v>
      </c>
      <c r="D65" s="156">
        <v>0.85</v>
      </c>
      <c r="E65" s="214" t="s">
        <v>689</v>
      </c>
    </row>
    <row r="66" spans="2:6" ht="13">
      <c r="B66" s="151" t="s">
        <v>690</v>
      </c>
      <c r="C66" s="157">
        <v>10922.5</v>
      </c>
      <c r="D66" s="157">
        <v>10922.5</v>
      </c>
      <c r="E66" s="214" t="s">
        <v>675</v>
      </c>
    </row>
    <row r="67" spans="2:6" ht="13">
      <c r="B67" s="151" t="s">
        <v>690</v>
      </c>
      <c r="C67" s="158">
        <v>1.0922499999999999</v>
      </c>
      <c r="D67" s="158">
        <v>1.0922499999999999</v>
      </c>
      <c r="E67" s="214" t="s">
        <v>691</v>
      </c>
    </row>
    <row r="69" spans="2:6" ht="13">
      <c r="B69" s="225" t="s">
        <v>692</v>
      </c>
    </row>
    <row r="70" spans="2:6" ht="11.5" customHeight="1">
      <c r="B70" s="218" t="s">
        <v>71</v>
      </c>
      <c r="C70" s="214" t="s">
        <v>569</v>
      </c>
      <c r="D70" s="214" t="s">
        <v>570</v>
      </c>
    </row>
    <row r="71" spans="2:6">
      <c r="B71" s="151" t="s">
        <v>693</v>
      </c>
      <c r="C71" s="152">
        <v>4.0999999999999996</v>
      </c>
      <c r="D71" s="152">
        <v>4.0999999999999996</v>
      </c>
      <c r="E71" s="214" t="s">
        <v>650</v>
      </c>
    </row>
    <row r="72" spans="2:6">
      <c r="B72" s="151" t="s">
        <v>651</v>
      </c>
      <c r="C72" s="152">
        <v>2.31</v>
      </c>
      <c r="D72" s="152">
        <v>2.5950000000000002</v>
      </c>
      <c r="E72" s="214" t="s">
        <v>227</v>
      </c>
    </row>
    <row r="73" spans="2:6">
      <c r="B73" s="151" t="s">
        <v>652</v>
      </c>
      <c r="C73" s="154">
        <v>100</v>
      </c>
      <c r="D73" s="154">
        <v>100</v>
      </c>
      <c r="E73" s="214" t="s">
        <v>227</v>
      </c>
    </row>
    <row r="74" spans="2:6">
      <c r="B74" s="151" t="s">
        <v>654</v>
      </c>
      <c r="C74" s="152">
        <v>0.26700000000000002</v>
      </c>
      <c r="D74" s="152">
        <v>0.40400000000000003</v>
      </c>
      <c r="E74" s="214" t="s">
        <v>227</v>
      </c>
    </row>
    <row r="75" spans="2:6">
      <c r="B75" s="151" t="s">
        <v>655</v>
      </c>
      <c r="C75" s="154">
        <v>61.677000000000007</v>
      </c>
      <c r="D75" s="154">
        <v>104.83800000000001</v>
      </c>
      <c r="E75" s="214" t="s">
        <v>231</v>
      </c>
    </row>
    <row r="76" spans="2:6">
      <c r="B76" s="151" t="s">
        <v>694</v>
      </c>
      <c r="C76" s="154">
        <v>43.290043290043293</v>
      </c>
      <c r="D76" s="154">
        <v>38.53564547206166</v>
      </c>
      <c r="E76" s="214" t="s">
        <v>657</v>
      </c>
    </row>
    <row r="77" spans="2:6" ht="13">
      <c r="B77" s="151" t="s">
        <v>658</v>
      </c>
      <c r="C77" s="158">
        <v>1.0558547143913</v>
      </c>
      <c r="D77" s="158">
        <v>0.93989379200150391</v>
      </c>
      <c r="E77" s="214" t="s">
        <v>659</v>
      </c>
    </row>
    <row r="79" spans="2:6" ht="13">
      <c r="B79" s="225" t="s">
        <v>695</v>
      </c>
    </row>
    <row r="80" spans="2:6">
      <c r="B80" s="151" t="s">
        <v>696</v>
      </c>
      <c r="C80" s="155">
        <v>7.5</v>
      </c>
      <c r="D80" s="214" t="s">
        <v>697</v>
      </c>
      <c r="E80" s="155">
        <v>0.75</v>
      </c>
      <c r="F80" s="214" t="s">
        <v>698</v>
      </c>
    </row>
    <row r="81" spans="2:6">
      <c r="B81" s="151" t="s">
        <v>699</v>
      </c>
      <c r="C81" s="155">
        <v>1.5</v>
      </c>
      <c r="D81" s="214" t="s">
        <v>697</v>
      </c>
      <c r="E81" s="155">
        <v>0.15</v>
      </c>
      <c r="F81" s="214" t="s">
        <v>698</v>
      </c>
    </row>
    <row r="82" spans="2:6">
      <c r="B82" s="151" t="s">
        <v>700</v>
      </c>
      <c r="C82" s="155">
        <v>0.95</v>
      </c>
      <c r="D82" s="214" t="s">
        <v>697</v>
      </c>
      <c r="E82" s="155">
        <v>9.5000000000000001E-2</v>
      </c>
      <c r="F82" s="214" t="s">
        <v>698</v>
      </c>
    </row>
    <row r="83" spans="2:6">
      <c r="B83" s="151" t="s">
        <v>701</v>
      </c>
      <c r="C83" s="155">
        <v>0.75</v>
      </c>
      <c r="D83" s="214" t="s">
        <v>697</v>
      </c>
      <c r="E83" s="155">
        <v>7.4999999999999997E-2</v>
      </c>
      <c r="F83" s="214" t="s">
        <v>698</v>
      </c>
    </row>
    <row r="85" spans="2:6" ht="13">
      <c r="B85" s="225" t="s">
        <v>613</v>
      </c>
    </row>
    <row r="86" spans="2:6">
      <c r="B86" s="151" t="s">
        <v>702</v>
      </c>
      <c r="C86" s="155">
        <v>80</v>
      </c>
      <c r="D86" s="214" t="s">
        <v>650</v>
      </c>
    </row>
    <row r="87" spans="2:6">
      <c r="B87" s="151" t="s">
        <v>703</v>
      </c>
      <c r="C87" s="155">
        <v>90</v>
      </c>
      <c r="D87" s="214" t="s">
        <v>650</v>
      </c>
    </row>
    <row r="88" spans="2:6">
      <c r="B88" s="151" t="s">
        <v>704</v>
      </c>
      <c r="C88" s="155">
        <v>40</v>
      </c>
      <c r="D88" s="214" t="s">
        <v>650</v>
      </c>
    </row>
    <row r="89" spans="2:6">
      <c r="B89" s="151" t="s">
        <v>705</v>
      </c>
      <c r="C89" s="155">
        <v>50</v>
      </c>
      <c r="D89" s="214" t="s">
        <v>650</v>
      </c>
    </row>
    <row r="90" spans="2:6">
      <c r="B90" s="151" t="s">
        <v>706</v>
      </c>
      <c r="C90" s="155">
        <v>50</v>
      </c>
      <c r="D90" s="214" t="s">
        <v>231</v>
      </c>
      <c r="E90" s="159" t="s">
        <v>707</v>
      </c>
    </row>
    <row r="91" spans="2:6">
      <c r="B91" s="151" t="s">
        <v>708</v>
      </c>
      <c r="C91" s="155">
        <v>24</v>
      </c>
      <c r="D91" s="214" t="s">
        <v>243</v>
      </c>
    </row>
    <row r="92" spans="2:6">
      <c r="B92" s="151" t="s">
        <v>709</v>
      </c>
      <c r="C92" s="155">
        <v>10</v>
      </c>
      <c r="D92" s="214" t="s">
        <v>231</v>
      </c>
      <c r="E92" s="214" t="s">
        <v>710</v>
      </c>
    </row>
    <row r="93" spans="2:6">
      <c r="B93" s="151" t="s">
        <v>711</v>
      </c>
      <c r="C93" s="154">
        <v>780</v>
      </c>
      <c r="D93" s="214" t="s">
        <v>138</v>
      </c>
    </row>
    <row r="94" spans="2:6">
      <c r="B94" s="151" t="s">
        <v>712</v>
      </c>
      <c r="C94" s="154">
        <v>1</v>
      </c>
      <c r="D94" s="214" t="s">
        <v>367</v>
      </c>
    </row>
    <row r="95" spans="2:6">
      <c r="B95" s="151" t="s">
        <v>713</v>
      </c>
      <c r="C95" s="154">
        <v>2</v>
      </c>
      <c r="D95" s="214" t="s">
        <v>383</v>
      </c>
    </row>
    <row r="96" spans="2:6">
      <c r="B96" s="151" t="s">
        <v>714</v>
      </c>
      <c r="C96" s="154">
        <v>1</v>
      </c>
      <c r="D96" s="214" t="s">
        <v>391</v>
      </c>
    </row>
    <row r="97" spans="2:5">
      <c r="B97" s="151" t="s">
        <v>715</v>
      </c>
      <c r="C97" s="154">
        <v>7</v>
      </c>
      <c r="D97" s="214" t="s">
        <v>716</v>
      </c>
      <c r="E97" s="238" t="s">
        <v>717</v>
      </c>
    </row>
  </sheetData>
  <sheetProtection algorithmName="SHA-512" hashValue="kgrj9IEZb3AJSVY1/vy0a3X3wG/Ip+rCaO3dtXLElM2GJJlTj8dXPAG5j0n/YsVSvIo/1ZB6dtjK0016XcBGnA==" saltValue="mIs8KKVTHmo5xkHtUh/CTA==" spinCount="100000" sheet="1" objects="1" scenarios="1" autoFilter="0"/>
  <hyperlinks>
    <hyperlink ref="B5" location="Information" display="Return to Information" xr:uid="{E5D34010-D3B2-4F26-9DD6-C7B0545E80D8}"/>
    <hyperlink ref="E90" r:id="rId1" xr:uid="{2058B89E-11B2-4858-92BE-BAB4576F830B}"/>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7BDCF-3B1F-452C-92A1-C749C73F1F04}">
  <sheetPr codeName="Sheet13">
    <tabColor theme="5" tint="0.39997558519241921"/>
  </sheetPr>
  <dimension ref="A2:H179"/>
  <sheetViews>
    <sheetView showGridLines="0" workbookViewId="0">
      <pane ySplit="7" topLeftCell="A8" activePane="bottomLeft" state="frozen"/>
      <selection pane="bottomLeft"/>
    </sheetView>
  </sheetViews>
  <sheetFormatPr defaultColWidth="8.7265625" defaultRowHeight="12.5"/>
  <cols>
    <col min="1" max="1" width="3.7265625" style="238" customWidth="1"/>
    <col min="2" max="2" width="49.1796875" style="238" customWidth="1"/>
    <col min="3" max="3" width="12" style="238" customWidth="1"/>
    <col min="4" max="5" width="11.54296875" style="355" customWidth="1"/>
    <col min="6" max="6" width="8.453125" style="238" customWidth="1"/>
    <col min="7" max="7" width="75.81640625" style="238" customWidth="1"/>
    <col min="8" max="8" width="68" style="238" customWidth="1"/>
    <col min="9" max="9" width="11.453125" style="238" bestFit="1" customWidth="1"/>
    <col min="10" max="10" width="13.81640625" style="238" bestFit="1" customWidth="1"/>
    <col min="11" max="11" width="8.54296875" style="238" bestFit="1" customWidth="1"/>
    <col min="12" max="16377" width="8.7265625" style="238"/>
    <col min="16378" max="16384" width="8.7265625" style="238" bestFit="1"/>
  </cols>
  <sheetData>
    <row r="2" spans="1:8" ht="13">
      <c r="B2" s="237" t="str">
        <f>Project_Name</f>
        <v xml:space="preserve">South Australia Hydrogen and Renewable Energy Restoration Cost Estimation Tool </v>
      </c>
      <c r="C2" s="237"/>
      <c r="D2" s="371"/>
      <c r="E2" s="238"/>
    </row>
    <row r="3" spans="1:8">
      <c r="E3" s="238"/>
    </row>
    <row r="4" spans="1:8" ht="13">
      <c r="B4" s="356" t="s">
        <v>21</v>
      </c>
      <c r="C4" s="356"/>
      <c r="D4" s="241"/>
      <c r="E4" s="357"/>
      <c r="F4" s="357"/>
      <c r="G4" s="357"/>
      <c r="H4" s="357"/>
    </row>
    <row r="5" spans="1:8">
      <c r="B5" s="4" t="s">
        <v>31</v>
      </c>
      <c r="E5" s="238"/>
    </row>
    <row r="6" spans="1:8" ht="13.5" customHeight="1">
      <c r="B6" s="361" t="s">
        <v>718</v>
      </c>
      <c r="C6" s="372" t="s">
        <v>315</v>
      </c>
      <c r="D6" s="372" t="s">
        <v>316</v>
      </c>
      <c r="E6" s="372" t="s">
        <v>978</v>
      </c>
      <c r="F6" s="361" t="s">
        <v>51</v>
      </c>
      <c r="G6" s="361" t="s">
        <v>1329</v>
      </c>
      <c r="H6" s="361" t="s">
        <v>1330</v>
      </c>
    </row>
    <row r="7" spans="1:8" ht="5.25" customHeight="1">
      <c r="B7" s="373"/>
      <c r="C7" s="373"/>
      <c r="D7" s="373"/>
      <c r="E7" s="373"/>
      <c r="F7" s="373"/>
      <c r="G7" s="373"/>
      <c r="H7" s="373"/>
    </row>
    <row r="8" spans="1:8" ht="13">
      <c r="B8" s="260" t="s">
        <v>187</v>
      </c>
      <c r="C8" s="260"/>
      <c r="D8" s="259"/>
    </row>
    <row r="9" spans="1:8">
      <c r="A9" s="238" t="str" cm="1">
        <f t="array" ref="A9:A11">Surface_cover_list</f>
        <v>Earthen</v>
      </c>
      <c r="B9" s="37" t="e" cm="1">
        <f t="array" ref="B9">TRANSPOSE(#REF!)</f>
        <v>#REF!</v>
      </c>
      <c r="C9" s="374">
        <v>30</v>
      </c>
      <c r="D9" s="168"/>
      <c r="E9" s="375">
        <f t="shared" ref="E9:E14" si="0">IF(D9="",C9,D9)</f>
        <v>30</v>
      </c>
      <c r="F9" s="376" t="s">
        <v>227</v>
      </c>
      <c r="G9" s="160"/>
      <c r="H9" s="150"/>
    </row>
    <row r="10" spans="1:8">
      <c r="A10" s="238" t="str">
        <v>Gravel / rock</v>
      </c>
      <c r="B10" s="37"/>
      <c r="C10" s="374">
        <v>30</v>
      </c>
      <c r="D10" s="168"/>
      <c r="E10" s="375">
        <f t="shared" si="0"/>
        <v>30</v>
      </c>
      <c r="F10" s="376" t="s">
        <v>227</v>
      </c>
      <c r="G10" s="160"/>
      <c r="H10" s="150"/>
    </row>
    <row r="11" spans="1:8">
      <c r="A11" s="238" t="str">
        <v>Bitumen</v>
      </c>
      <c r="B11" s="37"/>
      <c r="C11" s="374">
        <v>30</v>
      </c>
      <c r="D11" s="168"/>
      <c r="E11" s="375">
        <f t="shared" si="0"/>
        <v>30</v>
      </c>
      <c r="F11" s="376" t="s">
        <v>227</v>
      </c>
      <c r="G11" s="160"/>
      <c r="H11" s="150"/>
    </row>
    <row r="12" spans="1:8">
      <c r="A12" s="238" t="str" cm="1">
        <f t="array" ref="A12:A14">Surface_cover_list</f>
        <v>Earthen</v>
      </c>
      <c r="B12" s="37" t="s">
        <v>719</v>
      </c>
      <c r="C12" s="374">
        <v>0</v>
      </c>
      <c r="D12" s="168"/>
      <c r="E12" s="375">
        <f t="shared" si="0"/>
        <v>0</v>
      </c>
      <c r="F12" s="376" t="s">
        <v>227</v>
      </c>
      <c r="G12" s="160"/>
      <c r="H12" s="150"/>
    </row>
    <row r="13" spans="1:8">
      <c r="A13" s="238" t="str">
        <v>Gravel / rock</v>
      </c>
      <c r="B13" s="37" t="s">
        <v>720</v>
      </c>
      <c r="C13" s="374">
        <v>0.3</v>
      </c>
      <c r="D13" s="168"/>
      <c r="E13" s="375">
        <f t="shared" si="0"/>
        <v>0.3</v>
      </c>
      <c r="F13" s="376" t="s">
        <v>227</v>
      </c>
      <c r="G13" s="160"/>
      <c r="H13" s="150"/>
    </row>
    <row r="14" spans="1:8">
      <c r="A14" s="238" t="str">
        <v>Bitumen</v>
      </c>
      <c r="B14" s="37" t="s">
        <v>721</v>
      </c>
      <c r="C14" s="374">
        <v>0.5</v>
      </c>
      <c r="D14" s="168"/>
      <c r="E14" s="375">
        <f t="shared" si="0"/>
        <v>0.5</v>
      </c>
      <c r="F14" s="376" t="s">
        <v>227</v>
      </c>
      <c r="G14" s="160"/>
      <c r="H14" s="150"/>
    </row>
    <row r="15" spans="1:8">
      <c r="D15" s="238"/>
      <c r="E15" s="238"/>
    </row>
    <row r="16" spans="1:8" ht="13">
      <c r="B16" s="260" t="s">
        <v>722</v>
      </c>
      <c r="C16" s="355"/>
      <c r="F16" s="355"/>
    </row>
    <row r="17" spans="2:8">
      <c r="B17" s="37" t="s">
        <v>723</v>
      </c>
      <c r="C17" s="377">
        <v>60</v>
      </c>
      <c r="D17" s="169"/>
      <c r="E17" s="378">
        <f t="shared" ref="E17:E24" si="1">IF(D17="",C17,D17)</f>
        <v>60</v>
      </c>
      <c r="F17" s="376" t="s">
        <v>724</v>
      </c>
      <c r="G17" s="160"/>
      <c r="H17" s="150"/>
    </row>
    <row r="18" spans="2:8">
      <c r="B18" s="37" t="s">
        <v>725</v>
      </c>
      <c r="C18" s="379">
        <v>1000</v>
      </c>
      <c r="D18" s="169"/>
      <c r="E18" s="378">
        <f t="shared" si="1"/>
        <v>1000</v>
      </c>
      <c r="F18" s="376" t="s">
        <v>726</v>
      </c>
      <c r="G18" s="160"/>
      <c r="H18" s="150"/>
    </row>
    <row r="19" spans="2:8">
      <c r="B19" s="37" t="s">
        <v>727</v>
      </c>
      <c r="C19" s="379">
        <v>1000</v>
      </c>
      <c r="D19" s="169"/>
      <c r="E19" s="378">
        <f t="shared" si="1"/>
        <v>1000</v>
      </c>
      <c r="F19" s="376" t="s">
        <v>728</v>
      </c>
      <c r="G19" s="160"/>
      <c r="H19" s="150"/>
    </row>
    <row r="20" spans="2:8">
      <c r="B20" s="37" t="s">
        <v>729</v>
      </c>
      <c r="C20" s="379">
        <v>10000</v>
      </c>
      <c r="D20" s="169"/>
      <c r="E20" s="378">
        <f t="shared" si="1"/>
        <v>10000</v>
      </c>
      <c r="F20" s="376" t="s">
        <v>730</v>
      </c>
      <c r="G20" s="160"/>
      <c r="H20" s="150"/>
    </row>
    <row r="21" spans="2:8">
      <c r="B21" s="14" t="s">
        <v>731</v>
      </c>
      <c r="C21" s="379">
        <v>1000</v>
      </c>
      <c r="D21" s="169"/>
      <c r="E21" s="378">
        <f t="shared" si="1"/>
        <v>1000</v>
      </c>
      <c r="F21" s="376" t="s">
        <v>732</v>
      </c>
      <c r="G21" s="160"/>
      <c r="H21" s="150"/>
    </row>
    <row r="22" spans="2:8">
      <c r="B22" s="14" t="s">
        <v>1190</v>
      </c>
      <c r="C22" s="379">
        <v>1000</v>
      </c>
      <c r="D22" s="169"/>
      <c r="E22" s="378">
        <f t="shared" si="1"/>
        <v>1000</v>
      </c>
      <c r="F22" s="376" t="s">
        <v>1191</v>
      </c>
      <c r="G22" s="160"/>
      <c r="H22" s="150"/>
    </row>
    <row r="23" spans="2:8">
      <c r="B23" s="14" t="s">
        <v>733</v>
      </c>
      <c r="C23" s="379">
        <v>1000</v>
      </c>
      <c r="D23" s="169"/>
      <c r="E23" s="378">
        <f t="shared" si="1"/>
        <v>1000</v>
      </c>
      <c r="F23" s="376" t="s">
        <v>734</v>
      </c>
      <c r="G23" s="160"/>
      <c r="H23" s="150"/>
    </row>
    <row r="24" spans="2:8">
      <c r="B24" s="14" t="s">
        <v>735</v>
      </c>
      <c r="C24" s="379">
        <v>17</v>
      </c>
      <c r="D24" s="169"/>
      <c r="E24" s="378">
        <f t="shared" si="1"/>
        <v>17</v>
      </c>
      <c r="F24" s="376" t="s">
        <v>1344</v>
      </c>
      <c r="G24" s="160"/>
      <c r="H24" s="150"/>
    </row>
    <row r="25" spans="2:8">
      <c r="D25" s="238"/>
      <c r="E25" s="238"/>
    </row>
    <row r="26" spans="2:8" ht="13">
      <c r="B26" s="260" t="s">
        <v>660</v>
      </c>
      <c r="D26" s="238"/>
      <c r="E26" s="238"/>
    </row>
    <row r="27" spans="2:8">
      <c r="B27" s="37" t="s">
        <v>736</v>
      </c>
      <c r="C27" s="380">
        <v>2.5</v>
      </c>
      <c r="D27" s="168"/>
      <c r="E27" s="381">
        <f t="shared" ref="E27:E56" si="2">IF(D27="",C27,D27)</f>
        <v>2.5</v>
      </c>
      <c r="F27" s="376" t="s">
        <v>737</v>
      </c>
      <c r="G27" s="160" t="s">
        <v>738</v>
      </c>
      <c r="H27" s="150"/>
    </row>
    <row r="28" spans="2:8">
      <c r="B28" s="37" t="s">
        <v>739</v>
      </c>
      <c r="C28" s="380">
        <v>0.5</v>
      </c>
      <c r="D28" s="168"/>
      <c r="E28" s="381">
        <f t="shared" si="2"/>
        <v>0.5</v>
      </c>
      <c r="F28" s="376" t="s">
        <v>737</v>
      </c>
      <c r="G28" s="160" t="s">
        <v>738</v>
      </c>
      <c r="H28" s="150"/>
    </row>
    <row r="29" spans="2:8">
      <c r="B29" s="37" t="s">
        <v>740</v>
      </c>
      <c r="C29" s="380">
        <v>0.2</v>
      </c>
      <c r="D29" s="168"/>
      <c r="E29" s="381">
        <f t="shared" si="2"/>
        <v>0.2</v>
      </c>
      <c r="F29" s="376" t="s">
        <v>737</v>
      </c>
      <c r="G29" s="160" t="s">
        <v>738</v>
      </c>
      <c r="H29" s="150"/>
    </row>
    <row r="30" spans="2:8">
      <c r="B30" s="37" t="s">
        <v>741</v>
      </c>
      <c r="C30" s="380">
        <v>1</v>
      </c>
      <c r="D30" s="168"/>
      <c r="E30" s="381">
        <f t="shared" si="2"/>
        <v>1</v>
      </c>
      <c r="F30" s="376" t="s">
        <v>737</v>
      </c>
      <c r="G30" s="160" t="s">
        <v>738</v>
      </c>
      <c r="H30" s="150"/>
    </row>
    <row r="31" spans="2:8">
      <c r="B31" s="37" t="s">
        <v>742</v>
      </c>
      <c r="C31" s="380">
        <v>1.5</v>
      </c>
      <c r="D31" s="168"/>
      <c r="E31" s="381">
        <f t="shared" si="2"/>
        <v>1.5</v>
      </c>
      <c r="F31" s="376" t="s">
        <v>737</v>
      </c>
      <c r="G31" s="160" t="s">
        <v>738</v>
      </c>
      <c r="H31" s="150"/>
    </row>
    <row r="32" spans="2:8">
      <c r="B32" s="37" t="s">
        <v>743</v>
      </c>
      <c r="C32" s="380">
        <v>1.5</v>
      </c>
      <c r="D32" s="168"/>
      <c r="E32" s="381">
        <f t="shared" si="2"/>
        <v>1.5</v>
      </c>
      <c r="F32" s="376" t="s">
        <v>737</v>
      </c>
      <c r="G32" s="160" t="s">
        <v>738</v>
      </c>
      <c r="H32" s="150"/>
    </row>
    <row r="33" spans="1:8">
      <c r="B33" s="37" t="s">
        <v>87</v>
      </c>
      <c r="C33" s="380">
        <v>6.0999999999999999E-2</v>
      </c>
      <c r="D33" s="168"/>
      <c r="E33" s="381">
        <f t="shared" si="2"/>
        <v>6.0999999999999999E-2</v>
      </c>
      <c r="F33" s="376" t="s">
        <v>744</v>
      </c>
      <c r="G33" s="160" t="s">
        <v>745</v>
      </c>
      <c r="H33" s="150"/>
    </row>
    <row r="34" spans="1:8">
      <c r="B34" s="37" t="s">
        <v>746</v>
      </c>
      <c r="C34" s="380">
        <v>7.0000000000000007E-2</v>
      </c>
      <c r="D34" s="168"/>
      <c r="E34" s="381">
        <f t="shared" si="2"/>
        <v>7.0000000000000007E-2</v>
      </c>
      <c r="F34" s="376" t="s">
        <v>744</v>
      </c>
      <c r="G34" s="160" t="s">
        <v>745</v>
      </c>
      <c r="H34" s="150"/>
    </row>
    <row r="35" spans="1:8">
      <c r="A35" s="287">
        <v>0.7</v>
      </c>
      <c r="B35" s="37" t="s">
        <v>89</v>
      </c>
      <c r="C35" s="380">
        <v>0.13700000000000001</v>
      </c>
      <c r="D35" s="168"/>
      <c r="E35" s="381">
        <f t="shared" si="2"/>
        <v>0.13700000000000001</v>
      </c>
      <c r="F35" s="376" t="s">
        <v>744</v>
      </c>
      <c r="G35" s="160" t="s">
        <v>1343</v>
      </c>
      <c r="H35" s="150"/>
    </row>
    <row r="36" spans="1:8">
      <c r="A36" s="238">
        <v>0.65</v>
      </c>
      <c r="B36" s="37" t="s">
        <v>91</v>
      </c>
      <c r="C36" s="380">
        <v>0.214</v>
      </c>
      <c r="D36" s="168"/>
      <c r="E36" s="381">
        <f t="shared" si="2"/>
        <v>0.214</v>
      </c>
      <c r="F36" s="376" t="s">
        <v>744</v>
      </c>
      <c r="G36" s="160" t="s">
        <v>745</v>
      </c>
      <c r="H36" s="150"/>
    </row>
    <row r="37" spans="1:8">
      <c r="A37" s="238">
        <v>0.36</v>
      </c>
      <c r="B37" s="37" t="s">
        <v>747</v>
      </c>
      <c r="C37" s="380">
        <v>0.29699999999999999</v>
      </c>
      <c r="D37" s="168"/>
      <c r="E37" s="381">
        <f t="shared" si="2"/>
        <v>0.29699999999999999</v>
      </c>
      <c r="F37" s="376" t="s">
        <v>744</v>
      </c>
      <c r="G37" s="160" t="s">
        <v>745</v>
      </c>
      <c r="H37" s="150"/>
    </row>
    <row r="38" spans="1:8">
      <c r="A38" s="238">
        <v>0.28999999999999998</v>
      </c>
      <c r="B38" s="37" t="s">
        <v>748</v>
      </c>
      <c r="C38" s="380">
        <v>0.40899999999999997</v>
      </c>
      <c r="D38" s="168"/>
      <c r="E38" s="381">
        <f t="shared" si="2"/>
        <v>0.40899999999999997</v>
      </c>
      <c r="F38" s="376" t="s">
        <v>744</v>
      </c>
      <c r="G38" s="160" t="s">
        <v>745</v>
      </c>
      <c r="H38" s="150"/>
    </row>
    <row r="39" spans="1:8">
      <c r="A39" s="238">
        <v>0.22</v>
      </c>
      <c r="B39" s="37" t="s">
        <v>749</v>
      </c>
      <c r="C39" s="380">
        <v>0.59</v>
      </c>
      <c r="D39" s="168"/>
      <c r="E39" s="381">
        <f t="shared" si="2"/>
        <v>0.59</v>
      </c>
      <c r="F39" s="376" t="s">
        <v>744</v>
      </c>
      <c r="G39" s="160" t="s">
        <v>745</v>
      </c>
      <c r="H39" s="150"/>
    </row>
    <row r="40" spans="1:8">
      <c r="A40" s="238">
        <v>0.41</v>
      </c>
      <c r="B40" s="37" t="s">
        <v>750</v>
      </c>
      <c r="C40" s="380">
        <v>1.363</v>
      </c>
      <c r="D40" s="168"/>
      <c r="E40" s="381">
        <f t="shared" si="2"/>
        <v>1.363</v>
      </c>
      <c r="F40" s="376" t="s">
        <v>744</v>
      </c>
      <c r="G40" s="160" t="s">
        <v>745</v>
      </c>
      <c r="H40" s="150"/>
    </row>
    <row r="41" spans="1:8">
      <c r="A41" s="238">
        <v>0.26</v>
      </c>
      <c r="B41" s="37" t="s">
        <v>751</v>
      </c>
      <c r="C41" s="380">
        <v>1.927</v>
      </c>
      <c r="D41" s="168"/>
      <c r="E41" s="381">
        <f t="shared" si="2"/>
        <v>1.927</v>
      </c>
      <c r="F41" s="376" t="s">
        <v>744</v>
      </c>
      <c r="G41" s="160" t="s">
        <v>745</v>
      </c>
      <c r="H41" s="150"/>
    </row>
    <row r="42" spans="1:8">
      <c r="A42" s="238">
        <v>0.19</v>
      </c>
      <c r="B42" s="37" t="s">
        <v>752</v>
      </c>
      <c r="C42" s="380">
        <v>2.4329999999999998</v>
      </c>
      <c r="D42" s="168"/>
      <c r="E42" s="381">
        <f t="shared" si="2"/>
        <v>2.4329999999999998</v>
      </c>
      <c r="F42" s="376" t="s">
        <v>744</v>
      </c>
      <c r="G42" s="160" t="s">
        <v>745</v>
      </c>
      <c r="H42" s="150"/>
    </row>
    <row r="43" spans="1:8">
      <c r="A43" s="238">
        <v>0.35</v>
      </c>
      <c r="B43" s="37" t="s">
        <v>93</v>
      </c>
      <c r="C43" s="380">
        <f>0.5</f>
        <v>0.5</v>
      </c>
      <c r="D43" s="168"/>
      <c r="E43" s="381">
        <f t="shared" si="2"/>
        <v>0.5</v>
      </c>
      <c r="F43" s="376" t="s">
        <v>744</v>
      </c>
      <c r="G43" s="160" t="s">
        <v>745</v>
      </c>
      <c r="H43" s="150"/>
    </row>
    <row r="44" spans="1:8">
      <c r="A44" s="238">
        <v>0.17</v>
      </c>
      <c r="B44" s="37" t="s">
        <v>95</v>
      </c>
      <c r="C44" s="380">
        <v>4</v>
      </c>
      <c r="D44" s="168"/>
      <c r="E44" s="381">
        <f t="shared" si="2"/>
        <v>4</v>
      </c>
      <c r="F44" s="376" t="s">
        <v>744</v>
      </c>
      <c r="G44" s="160" t="s">
        <v>745</v>
      </c>
      <c r="H44" s="150"/>
    </row>
    <row r="45" spans="1:8">
      <c r="A45" s="238">
        <v>13</v>
      </c>
      <c r="B45" s="37" t="s">
        <v>97</v>
      </c>
      <c r="C45" s="380">
        <v>1.0999999999999999E-2</v>
      </c>
      <c r="D45" s="168"/>
      <c r="E45" s="381">
        <f t="shared" si="2"/>
        <v>1.0999999999999999E-2</v>
      </c>
      <c r="F45" s="376" t="s">
        <v>744</v>
      </c>
      <c r="G45" s="160" t="s">
        <v>753</v>
      </c>
      <c r="H45" s="150"/>
    </row>
    <row r="46" spans="1:8">
      <c r="A46" s="238">
        <v>7.45</v>
      </c>
      <c r="B46" s="37" t="s">
        <v>754</v>
      </c>
      <c r="C46" s="380">
        <v>2.1999999999999999E-2</v>
      </c>
      <c r="D46" s="168"/>
      <c r="E46" s="381">
        <f t="shared" si="2"/>
        <v>2.1999999999999999E-2</v>
      </c>
      <c r="F46" s="376" t="s">
        <v>744</v>
      </c>
      <c r="G46" s="160" t="s">
        <v>753</v>
      </c>
      <c r="H46" s="150"/>
    </row>
    <row r="47" spans="1:8">
      <c r="A47" s="238">
        <v>4.46</v>
      </c>
      <c r="B47" s="37" t="s">
        <v>755</v>
      </c>
      <c r="C47" s="380">
        <v>3.5999999999999997E-2</v>
      </c>
      <c r="D47" s="168"/>
      <c r="E47" s="381">
        <f t="shared" si="2"/>
        <v>3.5999999999999997E-2</v>
      </c>
      <c r="F47" s="376" t="s">
        <v>744</v>
      </c>
      <c r="G47" s="160" t="s">
        <v>753</v>
      </c>
      <c r="H47" s="150"/>
    </row>
    <row r="48" spans="1:8">
      <c r="A48" s="238">
        <v>2.8</v>
      </c>
      <c r="B48" s="37" t="s">
        <v>756</v>
      </c>
      <c r="C48" s="380">
        <v>5.8000000000000003E-2</v>
      </c>
      <c r="D48" s="168"/>
      <c r="E48" s="381">
        <f t="shared" si="2"/>
        <v>5.8000000000000003E-2</v>
      </c>
      <c r="F48" s="376" t="s">
        <v>744</v>
      </c>
      <c r="G48" s="160" t="s">
        <v>753</v>
      </c>
      <c r="H48" s="150"/>
    </row>
    <row r="49" spans="1:8">
      <c r="A49" s="238">
        <v>1.86</v>
      </c>
      <c r="B49" s="37" t="s">
        <v>757</v>
      </c>
      <c r="C49" s="380">
        <v>8.6999999999999994E-2</v>
      </c>
      <c r="D49" s="168"/>
      <c r="E49" s="381">
        <f t="shared" si="2"/>
        <v>8.6999999999999994E-2</v>
      </c>
      <c r="F49" s="376" t="s">
        <v>744</v>
      </c>
      <c r="G49" s="160" t="s">
        <v>753</v>
      </c>
      <c r="H49" s="150"/>
    </row>
    <row r="50" spans="1:8">
      <c r="A50" s="238">
        <v>0.2</v>
      </c>
      <c r="B50" s="37" t="s">
        <v>338</v>
      </c>
      <c r="C50" s="380">
        <v>2.5</v>
      </c>
      <c r="D50" s="168"/>
      <c r="E50" s="381">
        <f t="shared" si="2"/>
        <v>2.5</v>
      </c>
      <c r="F50" s="376" t="s">
        <v>744</v>
      </c>
      <c r="G50" s="160" t="s">
        <v>1105</v>
      </c>
      <c r="H50" s="150"/>
    </row>
    <row r="51" spans="1:8">
      <c r="A51" s="238">
        <v>0.1</v>
      </c>
      <c r="B51" s="37" t="s">
        <v>758</v>
      </c>
      <c r="C51" s="380">
        <v>3.5</v>
      </c>
      <c r="D51" s="168"/>
      <c r="E51" s="381">
        <f t="shared" si="2"/>
        <v>3.5</v>
      </c>
      <c r="F51" s="376" t="s">
        <v>744</v>
      </c>
      <c r="G51" s="160" t="s">
        <v>1105</v>
      </c>
      <c r="H51" s="150"/>
    </row>
    <row r="52" spans="1:8">
      <c r="A52" s="238">
        <v>1.67</v>
      </c>
      <c r="B52" s="37" t="s">
        <v>340</v>
      </c>
      <c r="C52" s="380">
        <v>0.1</v>
      </c>
      <c r="D52" s="168"/>
      <c r="E52" s="381">
        <f t="shared" si="2"/>
        <v>0.1</v>
      </c>
      <c r="F52" s="376" t="s">
        <v>744</v>
      </c>
      <c r="G52" s="160"/>
      <c r="H52" s="150"/>
    </row>
    <row r="53" spans="1:8">
      <c r="A53" s="238">
        <v>1</v>
      </c>
      <c r="B53" s="37" t="s">
        <v>759</v>
      </c>
      <c r="C53" s="380">
        <v>0.2</v>
      </c>
      <c r="D53" s="168"/>
      <c r="E53" s="381">
        <f t="shared" si="2"/>
        <v>0.2</v>
      </c>
      <c r="F53" s="376" t="s">
        <v>744</v>
      </c>
      <c r="G53" s="160"/>
      <c r="H53" s="150"/>
    </row>
    <row r="54" spans="1:8">
      <c r="A54" s="238">
        <v>0.28999999999999998</v>
      </c>
      <c r="B54" s="37" t="s">
        <v>760</v>
      </c>
      <c r="C54" s="380">
        <v>0.4</v>
      </c>
      <c r="D54" s="168"/>
      <c r="E54" s="381">
        <f t="shared" si="2"/>
        <v>0.4</v>
      </c>
      <c r="F54" s="376" t="s">
        <v>744</v>
      </c>
      <c r="G54" s="160"/>
      <c r="H54" s="150"/>
    </row>
    <row r="55" spans="1:8">
      <c r="A55" s="238">
        <v>0.19</v>
      </c>
      <c r="B55" s="37" t="s">
        <v>761</v>
      </c>
      <c r="C55" s="380">
        <v>0.5</v>
      </c>
      <c r="D55" s="168"/>
      <c r="E55" s="381">
        <f t="shared" si="2"/>
        <v>0.5</v>
      </c>
      <c r="F55" s="376" t="s">
        <v>744</v>
      </c>
      <c r="G55" s="160"/>
      <c r="H55" s="150"/>
    </row>
    <row r="56" spans="1:8">
      <c r="A56" s="238">
        <v>0.15</v>
      </c>
      <c r="B56" s="37" t="s">
        <v>762</v>
      </c>
      <c r="C56" s="380">
        <v>0.6</v>
      </c>
      <c r="D56" s="168"/>
      <c r="E56" s="381">
        <f t="shared" si="2"/>
        <v>0.6</v>
      </c>
      <c r="F56" s="376" t="s">
        <v>744</v>
      </c>
      <c r="G56" s="160"/>
      <c r="H56" s="150"/>
    </row>
    <row r="57" spans="1:8">
      <c r="D57" s="238"/>
      <c r="E57" s="238"/>
    </row>
    <row r="58" spans="1:8" ht="13">
      <c r="B58" s="361" t="s">
        <v>1188</v>
      </c>
      <c r="C58" s="360"/>
      <c r="D58" s="360"/>
      <c r="E58" s="360"/>
      <c r="F58" s="360"/>
      <c r="G58" s="373"/>
    </row>
    <row r="59" spans="1:8">
      <c r="B59" s="161" t="s">
        <v>1186</v>
      </c>
      <c r="C59" s="382">
        <v>15</v>
      </c>
      <c r="D59" s="168"/>
      <c r="E59" s="383">
        <f t="shared" ref="E59:E61" si="3">IF(D59="",C59,D59)</f>
        <v>15</v>
      </c>
      <c r="F59" s="384" t="s">
        <v>1189</v>
      </c>
      <c r="G59" s="160"/>
      <c r="H59" s="150"/>
    </row>
    <row r="60" spans="1:8">
      <c r="B60" s="161" t="s">
        <v>1211</v>
      </c>
      <c r="C60" s="382">
        <v>0.25</v>
      </c>
      <c r="D60" s="168"/>
      <c r="E60" s="383">
        <f t="shared" si="3"/>
        <v>0.25</v>
      </c>
      <c r="F60" s="384" t="s">
        <v>1187</v>
      </c>
      <c r="G60" s="160"/>
      <c r="H60" s="150"/>
    </row>
    <row r="61" spans="1:8">
      <c r="B61" s="161" t="s">
        <v>1219</v>
      </c>
      <c r="C61" s="382">
        <v>30</v>
      </c>
      <c r="D61" s="168"/>
      <c r="E61" s="383">
        <f t="shared" si="3"/>
        <v>30</v>
      </c>
      <c r="F61" s="384" t="s">
        <v>64</v>
      </c>
      <c r="G61" s="160"/>
      <c r="H61" s="150"/>
    </row>
    <row r="62" spans="1:8">
      <c r="D62" s="238"/>
      <c r="E62" s="238"/>
    </row>
    <row r="63" spans="1:8">
      <c r="D63" s="238"/>
      <c r="E63" s="238"/>
    </row>
    <row r="64" spans="1:8" ht="13">
      <c r="B64" s="361" t="s">
        <v>763</v>
      </c>
      <c r="C64" s="360"/>
      <c r="D64" s="360"/>
      <c r="E64" s="360"/>
      <c r="F64" s="360"/>
      <c r="G64" s="373"/>
    </row>
    <row r="65" spans="2:8" ht="13">
      <c r="B65" s="161" t="str">
        <f>Top_soil</f>
        <v>Top soil</v>
      </c>
      <c r="C65" s="380">
        <v>0.15</v>
      </c>
      <c r="D65" s="168"/>
      <c r="E65" s="381">
        <f t="shared" ref="E65" si="4">IF(D65="",C65,D65)</f>
        <v>0.15</v>
      </c>
      <c r="F65" s="384" t="s">
        <v>227</v>
      </c>
      <c r="G65" s="162"/>
      <c r="H65" s="150"/>
    </row>
    <row r="66" spans="2:8">
      <c r="D66" s="238"/>
      <c r="E66" s="238"/>
    </row>
    <row r="67" spans="2:8" ht="13">
      <c r="B67" s="361" t="str">
        <f>Rates!B74</f>
        <v>Land Rehabilitation - Soil Ameliorants</v>
      </c>
      <c r="C67" s="360"/>
      <c r="D67" s="360"/>
      <c r="E67" s="360"/>
      <c r="F67" s="360"/>
      <c r="G67" s="373"/>
    </row>
    <row r="68" spans="2:8" ht="13">
      <c r="B68" s="161" t="str" cm="1">
        <f t="array" ref="B68:B69">Ameliorants_names</f>
        <v>Gypsum</v>
      </c>
      <c r="C68" s="382">
        <v>2.5</v>
      </c>
      <c r="D68" s="170"/>
      <c r="E68" s="383">
        <f t="shared" ref="E68:E69" si="5">IF(D68="",C68,D68)</f>
        <v>2.5</v>
      </c>
      <c r="F68" s="384" t="s">
        <v>241</v>
      </c>
      <c r="G68" s="162"/>
      <c r="H68" s="150"/>
    </row>
    <row r="69" spans="2:8" ht="13">
      <c r="B69" s="161" t="str">
        <v>Lime</v>
      </c>
      <c r="C69" s="382">
        <v>2</v>
      </c>
      <c r="D69" s="170"/>
      <c r="E69" s="383">
        <f t="shared" si="5"/>
        <v>2</v>
      </c>
      <c r="F69" s="384" t="s">
        <v>241</v>
      </c>
      <c r="G69" s="162"/>
      <c r="H69" s="150"/>
    </row>
    <row r="70" spans="2:8">
      <c r="D70" s="238"/>
      <c r="E70" s="238"/>
    </row>
    <row r="71" spans="2:8" ht="13">
      <c r="B71" s="361" t="str">
        <f>Rates!B55</f>
        <v>Land Rehabilitation - Fertiliser</v>
      </c>
      <c r="C71" s="360"/>
      <c r="D71" s="360"/>
      <c r="E71" s="360"/>
      <c r="F71" s="360"/>
      <c r="G71" s="373"/>
    </row>
    <row r="72" spans="2:8" ht="13">
      <c r="B72" s="161" t="str" cm="1">
        <f t="array" ref="B72:B73">Fertiliser_names</f>
        <v>Fertiliser - pasture</v>
      </c>
      <c r="C72" s="382">
        <v>0.3</v>
      </c>
      <c r="D72" s="169"/>
      <c r="E72" s="383">
        <f t="shared" ref="E72:E73" si="6">IF(D72="",C72,D72)</f>
        <v>0.3</v>
      </c>
      <c r="F72" s="384" t="s">
        <v>241</v>
      </c>
      <c r="G72" s="162"/>
      <c r="H72" s="150"/>
    </row>
    <row r="73" spans="2:8" ht="13">
      <c r="B73" s="161" t="str">
        <v>Fertiliser - native</v>
      </c>
      <c r="C73" s="382">
        <v>0.1</v>
      </c>
      <c r="D73" s="169"/>
      <c r="E73" s="383">
        <f t="shared" si="6"/>
        <v>0.1</v>
      </c>
      <c r="F73" s="384" t="s">
        <v>241</v>
      </c>
      <c r="G73" s="162"/>
      <c r="H73" s="150"/>
    </row>
    <row r="74" spans="2:8">
      <c r="D74" s="238"/>
      <c r="E74" s="238"/>
    </row>
    <row r="75" spans="2:8" ht="13">
      <c r="B75" s="361" t="str">
        <f>Rates!B69</f>
        <v>Land Rehabilitation - Plants and Seed</v>
      </c>
      <c r="C75" s="360"/>
      <c r="D75" s="360"/>
      <c r="E75" s="360"/>
      <c r="F75" s="360"/>
      <c r="G75" s="373"/>
    </row>
    <row r="76" spans="2:8" ht="13">
      <c r="B76" s="161" t="s">
        <v>581</v>
      </c>
      <c r="C76" s="382">
        <v>7</v>
      </c>
      <c r="D76" s="169"/>
      <c r="E76" s="383">
        <f t="shared" ref="E76:E79" si="7">IF(D76="",C76,D76)</f>
        <v>7</v>
      </c>
      <c r="F76" s="384" t="s">
        <v>764</v>
      </c>
      <c r="G76" s="162"/>
      <c r="H76" s="150"/>
    </row>
    <row r="77" spans="2:8" ht="13">
      <c r="B77" s="161" t="s">
        <v>582</v>
      </c>
      <c r="C77" s="382">
        <v>7</v>
      </c>
      <c r="D77" s="169"/>
      <c r="E77" s="383">
        <f t="shared" si="7"/>
        <v>7</v>
      </c>
      <c r="F77" s="384" t="s">
        <v>764</v>
      </c>
      <c r="G77" s="162"/>
      <c r="H77" s="150"/>
    </row>
    <row r="78" spans="2:8" ht="13">
      <c r="B78" s="163" t="s">
        <v>583</v>
      </c>
      <c r="C78" s="382">
        <v>150</v>
      </c>
      <c r="D78" s="169"/>
      <c r="E78" s="383">
        <f t="shared" si="7"/>
        <v>150</v>
      </c>
      <c r="F78" s="384" t="s">
        <v>765</v>
      </c>
      <c r="G78" s="162"/>
      <c r="H78" s="150"/>
    </row>
    <row r="79" spans="2:8" ht="13">
      <c r="B79" s="163" t="s">
        <v>584</v>
      </c>
      <c r="C79" s="382">
        <v>75</v>
      </c>
      <c r="D79" s="169"/>
      <c r="E79" s="383">
        <f t="shared" si="7"/>
        <v>75</v>
      </c>
      <c r="F79" s="384" t="s">
        <v>766</v>
      </c>
      <c r="G79" s="162"/>
      <c r="H79" s="150"/>
    </row>
    <row r="80" spans="2:8">
      <c r="D80" s="238"/>
      <c r="E80" s="238"/>
    </row>
    <row r="81" spans="1:8" ht="13">
      <c r="B81" s="361" t="str">
        <f>Rates!B60</f>
        <v>Land Rehabilitation - Hydro-applications</v>
      </c>
      <c r="C81" s="360"/>
      <c r="D81" s="360"/>
      <c r="E81" s="360"/>
      <c r="F81" s="360"/>
      <c r="G81" s="373"/>
    </row>
    <row r="82" spans="1:8">
      <c r="B82" s="163" t="s">
        <v>473</v>
      </c>
      <c r="C82" s="382">
        <v>42.5</v>
      </c>
      <c r="D82" s="170"/>
      <c r="E82" s="383">
        <f t="shared" ref="E82:E89" si="8">IF(D82="",C82,D82)</f>
        <v>42.5</v>
      </c>
      <c r="F82" s="384" t="s">
        <v>764</v>
      </c>
      <c r="G82" s="6" t="s">
        <v>767</v>
      </c>
      <c r="H82" s="150"/>
    </row>
    <row r="83" spans="1:8">
      <c r="B83" s="163" t="s">
        <v>474</v>
      </c>
      <c r="C83" s="382">
        <v>12.5</v>
      </c>
      <c r="D83" s="170"/>
      <c r="E83" s="383">
        <f t="shared" si="8"/>
        <v>12.5</v>
      </c>
      <c r="F83" s="384" t="s">
        <v>764</v>
      </c>
      <c r="G83" s="6" t="s">
        <v>767</v>
      </c>
      <c r="H83" s="150"/>
    </row>
    <row r="84" spans="1:8">
      <c r="B84" s="163" t="s">
        <v>475</v>
      </c>
      <c r="C84" s="382">
        <v>42.5</v>
      </c>
      <c r="D84" s="170"/>
      <c r="E84" s="383">
        <f t="shared" si="8"/>
        <v>42.5</v>
      </c>
      <c r="F84" s="384" t="s">
        <v>764</v>
      </c>
      <c r="G84" s="6" t="s">
        <v>767</v>
      </c>
      <c r="H84" s="150"/>
    </row>
    <row r="85" spans="1:8">
      <c r="B85" s="163" t="s">
        <v>476</v>
      </c>
      <c r="C85" s="382">
        <v>12.5</v>
      </c>
      <c r="D85" s="170"/>
      <c r="E85" s="383">
        <f t="shared" si="8"/>
        <v>12.5</v>
      </c>
      <c r="F85" s="384" t="s">
        <v>764</v>
      </c>
      <c r="G85" s="6" t="s">
        <v>767</v>
      </c>
      <c r="H85" s="150"/>
    </row>
    <row r="86" spans="1:8">
      <c r="B86" s="163" t="s">
        <v>477</v>
      </c>
      <c r="C86" s="382">
        <v>42.5</v>
      </c>
      <c r="D86" s="170"/>
      <c r="E86" s="383">
        <f t="shared" si="8"/>
        <v>42.5</v>
      </c>
      <c r="F86" s="384" t="s">
        <v>764</v>
      </c>
      <c r="G86" s="6" t="s">
        <v>767</v>
      </c>
      <c r="H86" s="150"/>
    </row>
    <row r="87" spans="1:8">
      <c r="B87" s="163" t="s">
        <v>478</v>
      </c>
      <c r="C87" s="382">
        <v>12.5</v>
      </c>
      <c r="D87" s="170"/>
      <c r="E87" s="383">
        <f t="shared" si="8"/>
        <v>12.5</v>
      </c>
      <c r="F87" s="384" t="s">
        <v>764</v>
      </c>
      <c r="G87" s="6" t="s">
        <v>767</v>
      </c>
      <c r="H87" s="150"/>
    </row>
    <row r="88" spans="1:8">
      <c r="B88" s="163" t="s">
        <v>479</v>
      </c>
      <c r="C88" s="382">
        <v>42.5</v>
      </c>
      <c r="D88" s="170"/>
      <c r="E88" s="383">
        <f t="shared" si="8"/>
        <v>42.5</v>
      </c>
      <c r="F88" s="384" t="s">
        <v>764</v>
      </c>
      <c r="G88" s="6" t="s">
        <v>767</v>
      </c>
      <c r="H88" s="150"/>
    </row>
    <row r="89" spans="1:8">
      <c r="B89" s="163" t="s">
        <v>480</v>
      </c>
      <c r="C89" s="382">
        <v>12.5</v>
      </c>
      <c r="D89" s="170"/>
      <c r="E89" s="383">
        <f t="shared" si="8"/>
        <v>12.5</v>
      </c>
      <c r="F89" s="384" t="s">
        <v>764</v>
      </c>
      <c r="G89" s="6" t="s">
        <v>767</v>
      </c>
      <c r="H89" s="150"/>
    </row>
    <row r="90" spans="1:8">
      <c r="D90" s="238"/>
      <c r="E90" s="238"/>
    </row>
    <row r="91" spans="1:8" ht="13">
      <c r="B91" s="260" t="s">
        <v>173</v>
      </c>
      <c r="C91" s="355"/>
      <c r="F91" s="355"/>
    </row>
    <row r="92" spans="1:8">
      <c r="A92" s="238" t="str" cm="1">
        <f t="array" ref="A92:A94">Surface_cover_list</f>
        <v>Earthen</v>
      </c>
      <c r="B92" s="37" t="s">
        <v>768</v>
      </c>
      <c r="C92" s="382">
        <v>0</v>
      </c>
      <c r="D92" s="168"/>
      <c r="E92" s="383">
        <f t="shared" ref="E92:E94" si="9">IF(D92="",C92,D92)</f>
        <v>0</v>
      </c>
      <c r="F92" s="376" t="s">
        <v>227</v>
      </c>
      <c r="G92" s="160"/>
      <c r="H92" s="150"/>
    </row>
    <row r="93" spans="1:8">
      <c r="A93" s="238" t="str">
        <v>Gravel / rock</v>
      </c>
      <c r="B93" s="37" t="s">
        <v>769</v>
      </c>
      <c r="C93" s="382">
        <v>0.3</v>
      </c>
      <c r="D93" s="168"/>
      <c r="E93" s="383">
        <f t="shared" si="9"/>
        <v>0.3</v>
      </c>
      <c r="F93" s="376" t="s">
        <v>227</v>
      </c>
      <c r="G93" s="160"/>
      <c r="H93" s="150"/>
    </row>
    <row r="94" spans="1:8">
      <c r="A94" s="238" t="str">
        <v>Bitumen</v>
      </c>
      <c r="B94" s="37" t="s">
        <v>770</v>
      </c>
      <c r="C94" s="382">
        <v>0.5</v>
      </c>
      <c r="D94" s="168"/>
      <c r="E94" s="383">
        <f t="shared" si="9"/>
        <v>0.5</v>
      </c>
      <c r="F94" s="376" t="s">
        <v>227</v>
      </c>
      <c r="G94" s="160"/>
      <c r="H94" s="150"/>
    </row>
    <row r="95" spans="1:8">
      <c r="D95" s="238"/>
      <c r="E95" s="238"/>
    </row>
    <row r="96" spans="1:8" ht="13">
      <c r="B96" s="260" t="s">
        <v>771</v>
      </c>
      <c r="D96" s="238"/>
      <c r="E96" s="238"/>
    </row>
    <row r="97" spans="2:8">
      <c r="B97" s="37" t="s">
        <v>772</v>
      </c>
      <c r="C97" s="385">
        <v>18</v>
      </c>
      <c r="D97" s="169"/>
      <c r="E97" s="386">
        <f t="shared" ref="E97:E100" si="10">IF(D97="",C97,D97)</f>
        <v>18</v>
      </c>
      <c r="F97" s="387" t="s">
        <v>353</v>
      </c>
      <c r="G97" s="160" t="s">
        <v>773</v>
      </c>
      <c r="H97" s="150"/>
    </row>
    <row r="98" spans="2:8">
      <c r="B98" s="14" t="s">
        <v>774</v>
      </c>
      <c r="C98" s="385">
        <v>20</v>
      </c>
      <c r="D98" s="169"/>
      <c r="E98" s="386">
        <f t="shared" si="10"/>
        <v>20</v>
      </c>
      <c r="F98" s="387" t="s">
        <v>353</v>
      </c>
      <c r="G98" s="160" t="s">
        <v>773</v>
      </c>
      <c r="H98" s="150"/>
    </row>
    <row r="99" spans="2:8">
      <c r="B99" s="37" t="s">
        <v>775</v>
      </c>
      <c r="C99" s="385">
        <v>9</v>
      </c>
      <c r="D99" s="169"/>
      <c r="E99" s="386">
        <f t="shared" si="10"/>
        <v>9</v>
      </c>
      <c r="F99" s="387" t="s">
        <v>353</v>
      </c>
      <c r="G99" s="160" t="s">
        <v>773</v>
      </c>
      <c r="H99" s="150"/>
    </row>
    <row r="100" spans="2:8">
      <c r="B100" s="37" t="s">
        <v>776</v>
      </c>
      <c r="C100" s="385">
        <v>10</v>
      </c>
      <c r="D100" s="169"/>
      <c r="E100" s="386">
        <f t="shared" si="10"/>
        <v>10</v>
      </c>
      <c r="F100" s="387" t="s">
        <v>777</v>
      </c>
      <c r="G100" s="160" t="s">
        <v>773</v>
      </c>
      <c r="H100" s="150"/>
    </row>
    <row r="101" spans="2:8">
      <c r="C101" s="164"/>
      <c r="D101" s="164"/>
      <c r="E101" s="164"/>
      <c r="F101" s="164"/>
    </row>
    <row r="102" spans="2:8" ht="13">
      <c r="B102" s="260" t="s">
        <v>778</v>
      </c>
      <c r="C102" s="355"/>
      <c r="F102" s="355"/>
    </row>
    <row r="103" spans="2:8" ht="14.5">
      <c r="B103" s="37" t="s">
        <v>779</v>
      </c>
      <c r="C103" s="382">
        <v>2.4</v>
      </c>
      <c r="D103" s="169"/>
      <c r="E103" s="383">
        <f t="shared" ref="E103:E109" si="11">IF(D103="",C103,D103)</f>
        <v>2.4</v>
      </c>
      <c r="F103" s="376" t="s">
        <v>780</v>
      </c>
      <c r="G103" s="160"/>
      <c r="H103" s="150"/>
    </row>
    <row r="104" spans="2:8">
      <c r="B104" s="37" t="s">
        <v>781</v>
      </c>
      <c r="C104" s="382">
        <v>0.2</v>
      </c>
      <c r="D104" s="169"/>
      <c r="E104" s="383">
        <f t="shared" si="11"/>
        <v>0.2</v>
      </c>
      <c r="F104" s="376" t="s">
        <v>227</v>
      </c>
      <c r="G104" s="160"/>
      <c r="H104" s="150"/>
    </row>
    <row r="105" spans="2:8">
      <c r="B105" s="37" t="s">
        <v>782</v>
      </c>
      <c r="C105" s="382">
        <v>2</v>
      </c>
      <c r="D105" s="169"/>
      <c r="E105" s="383">
        <f t="shared" si="11"/>
        <v>2</v>
      </c>
      <c r="F105" s="376"/>
      <c r="G105" s="160"/>
      <c r="H105" s="150"/>
    </row>
    <row r="106" spans="2:8">
      <c r="B106" s="37" t="s">
        <v>783</v>
      </c>
      <c r="C106" s="382">
        <v>8</v>
      </c>
      <c r="D106" s="169"/>
      <c r="E106" s="383">
        <f t="shared" si="11"/>
        <v>8</v>
      </c>
      <c r="F106" s="376" t="s">
        <v>784</v>
      </c>
      <c r="G106" s="165" t="s">
        <v>1331</v>
      </c>
      <c r="H106" s="150"/>
    </row>
    <row r="107" spans="2:8">
      <c r="B107" s="37" t="s">
        <v>785</v>
      </c>
      <c r="C107" s="385">
        <v>5.4</v>
      </c>
      <c r="D107" s="169"/>
      <c r="E107" s="383">
        <f t="shared" si="11"/>
        <v>5.4</v>
      </c>
      <c r="F107" s="376" t="s">
        <v>786</v>
      </c>
      <c r="G107" s="160"/>
      <c r="H107" s="150"/>
    </row>
    <row r="108" spans="2:8">
      <c r="B108" s="37" t="s">
        <v>787</v>
      </c>
      <c r="C108" s="385">
        <v>9.1999999999999993</v>
      </c>
      <c r="D108" s="169"/>
      <c r="E108" s="383">
        <f t="shared" si="11"/>
        <v>9.1999999999999993</v>
      </c>
      <c r="F108" s="376" t="s">
        <v>788</v>
      </c>
      <c r="G108" s="160"/>
      <c r="H108" s="150"/>
    </row>
    <row r="109" spans="2:8">
      <c r="B109" s="37" t="s">
        <v>789</v>
      </c>
      <c r="C109" s="385">
        <v>4.5</v>
      </c>
      <c r="D109" s="169"/>
      <c r="E109" s="383">
        <f t="shared" si="11"/>
        <v>4.5</v>
      </c>
      <c r="F109" s="376" t="s">
        <v>788</v>
      </c>
      <c r="G109" s="160"/>
      <c r="H109" s="150"/>
    </row>
    <row r="110" spans="2:8">
      <c r="B110" s="37" t="s">
        <v>1263</v>
      </c>
      <c r="C110" s="385">
        <v>5.4</v>
      </c>
      <c r="D110" s="169"/>
      <c r="E110" s="383">
        <f>IF(D110="",C110,D110)</f>
        <v>5.4</v>
      </c>
      <c r="F110" s="376" t="s">
        <v>788</v>
      </c>
      <c r="G110" s="160"/>
      <c r="H110" s="150"/>
    </row>
    <row r="111" spans="2:8">
      <c r="D111" s="238"/>
      <c r="E111" s="238"/>
    </row>
    <row r="112" spans="2:8" ht="13">
      <c r="B112" s="260" t="s">
        <v>790</v>
      </c>
      <c r="C112" s="355"/>
      <c r="F112" s="355"/>
    </row>
    <row r="113" spans="2:8">
      <c r="B113" s="37" t="s">
        <v>318</v>
      </c>
      <c r="C113" s="166">
        <v>0.1</v>
      </c>
      <c r="D113" s="171"/>
      <c r="E113" s="167">
        <f t="shared" ref="E113:E159" si="12">IF(D113="",C113,D113)</f>
        <v>0.1</v>
      </c>
      <c r="F113" s="376"/>
      <c r="G113" s="160"/>
      <c r="H113" s="150"/>
    </row>
    <row r="114" spans="2:8">
      <c r="B114" s="37" t="s">
        <v>320</v>
      </c>
      <c r="C114" s="166">
        <v>0.05</v>
      </c>
      <c r="D114" s="171"/>
      <c r="E114" s="167">
        <f t="shared" si="12"/>
        <v>0.05</v>
      </c>
      <c r="F114" s="376"/>
      <c r="G114" s="160"/>
      <c r="H114" s="150"/>
    </row>
    <row r="115" spans="2:8">
      <c r="B115" s="37" t="s">
        <v>321</v>
      </c>
      <c r="C115" s="166">
        <v>0.1</v>
      </c>
      <c r="D115" s="171"/>
      <c r="E115" s="167">
        <f t="shared" si="12"/>
        <v>0.1</v>
      </c>
      <c r="F115" s="376"/>
      <c r="G115" s="160"/>
      <c r="H115" s="150"/>
    </row>
    <row r="116" spans="2:8">
      <c r="D116" s="238"/>
      <c r="E116" s="238"/>
    </row>
    <row r="117" spans="2:8" ht="13">
      <c r="B117" s="260" t="s">
        <v>791</v>
      </c>
      <c r="D117" s="238"/>
      <c r="E117" s="238"/>
    </row>
    <row r="118" spans="2:8">
      <c r="B118" s="37" t="s">
        <v>792</v>
      </c>
      <c r="C118" s="382">
        <v>1.6</v>
      </c>
      <c r="D118" s="170"/>
      <c r="E118" s="383">
        <f t="shared" si="12"/>
        <v>1.6</v>
      </c>
      <c r="F118" s="376" t="s">
        <v>784</v>
      </c>
      <c r="G118" s="160" t="s">
        <v>773</v>
      </c>
      <c r="H118" s="150"/>
    </row>
    <row r="119" spans="2:8">
      <c r="B119" s="37" t="s">
        <v>793</v>
      </c>
      <c r="C119" s="385">
        <v>2.8</v>
      </c>
      <c r="D119" s="170"/>
      <c r="E119" s="383">
        <f t="shared" si="12"/>
        <v>2.8</v>
      </c>
      <c r="F119" s="376" t="s">
        <v>784</v>
      </c>
      <c r="G119" s="160" t="s">
        <v>773</v>
      </c>
      <c r="H119" s="150"/>
    </row>
    <row r="120" spans="2:8">
      <c r="B120" s="37" t="s">
        <v>794</v>
      </c>
      <c r="C120" s="385">
        <v>1.5</v>
      </c>
      <c r="D120" s="170"/>
      <c r="E120" s="383">
        <f t="shared" si="12"/>
        <v>1.5</v>
      </c>
      <c r="F120" s="376" t="s">
        <v>784</v>
      </c>
      <c r="G120" s="160"/>
      <c r="H120" s="150"/>
    </row>
    <row r="122" spans="2:8" ht="13">
      <c r="B122" s="260" t="s">
        <v>795</v>
      </c>
      <c r="D122" s="238"/>
      <c r="E122" s="238"/>
    </row>
    <row r="123" spans="2:8">
      <c r="B123" s="37" t="s">
        <v>796</v>
      </c>
      <c r="C123" s="380">
        <v>0.03</v>
      </c>
      <c r="D123" s="168"/>
      <c r="E123" s="381">
        <f t="shared" si="12"/>
        <v>0.03</v>
      </c>
      <c r="F123" s="376" t="s">
        <v>797</v>
      </c>
      <c r="G123" s="160"/>
      <c r="H123" s="150"/>
    </row>
    <row r="124" spans="2:8">
      <c r="D124" s="238"/>
      <c r="E124" s="238"/>
    </row>
    <row r="125" spans="2:8" ht="13">
      <c r="B125" s="260" t="s">
        <v>798</v>
      </c>
      <c r="C125" s="355"/>
      <c r="F125" s="355"/>
    </row>
    <row r="126" spans="2:8">
      <c r="B126" s="37" t="s">
        <v>799</v>
      </c>
      <c r="C126" s="388" t="s">
        <v>800</v>
      </c>
      <c r="D126" s="168"/>
      <c r="E126" s="381" t="str">
        <f t="shared" si="12"/>
        <v>50 to 60 km</v>
      </c>
      <c r="F126" s="376" t="s">
        <v>86</v>
      </c>
      <c r="G126" s="160"/>
      <c r="H126" s="150"/>
    </row>
    <row r="127" spans="2:8">
      <c r="D127" s="238"/>
      <c r="E127" s="238"/>
    </row>
    <row r="128" spans="2:8" ht="13">
      <c r="B128" s="260" t="s">
        <v>801</v>
      </c>
      <c r="C128" s="355"/>
      <c r="F128" s="355"/>
    </row>
    <row r="129" spans="2:8">
      <c r="B129" s="37" t="s">
        <v>802</v>
      </c>
      <c r="C129" s="377">
        <v>150</v>
      </c>
      <c r="D129" s="169"/>
      <c r="E129" s="386">
        <f t="shared" si="12"/>
        <v>150</v>
      </c>
      <c r="F129" s="376" t="s">
        <v>803</v>
      </c>
      <c r="G129" s="160"/>
      <c r="H129" s="150"/>
    </row>
    <row r="130" spans="2:8">
      <c r="B130" s="37" t="s">
        <v>804</v>
      </c>
      <c r="C130" s="377">
        <v>250</v>
      </c>
      <c r="D130" s="169"/>
      <c r="E130" s="386">
        <f t="shared" si="12"/>
        <v>250</v>
      </c>
      <c r="F130" s="376" t="s">
        <v>803</v>
      </c>
      <c r="G130" s="160"/>
      <c r="H130" s="150"/>
    </row>
    <row r="131" spans="2:8">
      <c r="B131" s="37" t="s">
        <v>805</v>
      </c>
      <c r="C131" s="377">
        <v>200</v>
      </c>
      <c r="D131" s="169"/>
      <c r="E131" s="386">
        <f t="shared" si="12"/>
        <v>200</v>
      </c>
      <c r="F131" s="376" t="s">
        <v>803</v>
      </c>
      <c r="G131" s="160"/>
      <c r="H131" s="150"/>
    </row>
    <row r="132" spans="2:8">
      <c r="B132" s="37" t="s">
        <v>806</v>
      </c>
      <c r="C132" s="385">
        <v>250</v>
      </c>
      <c r="D132" s="169"/>
      <c r="E132" s="386">
        <f t="shared" si="12"/>
        <v>250</v>
      </c>
      <c r="F132" s="376" t="s">
        <v>803</v>
      </c>
      <c r="G132" s="160" t="s">
        <v>773</v>
      </c>
      <c r="H132" s="150"/>
    </row>
    <row r="133" spans="2:8">
      <c r="B133" s="37" t="s">
        <v>807</v>
      </c>
      <c r="C133" s="385">
        <v>150</v>
      </c>
      <c r="D133" s="169"/>
      <c r="E133" s="386">
        <f t="shared" si="12"/>
        <v>150</v>
      </c>
      <c r="F133" s="376" t="s">
        <v>803</v>
      </c>
      <c r="G133" s="160" t="s">
        <v>773</v>
      </c>
      <c r="H133" s="150"/>
    </row>
    <row r="134" spans="2:8">
      <c r="B134" s="37" t="s">
        <v>808</v>
      </c>
      <c r="C134" s="385">
        <v>150</v>
      </c>
      <c r="D134" s="169"/>
      <c r="E134" s="386">
        <f t="shared" si="12"/>
        <v>150</v>
      </c>
      <c r="F134" s="376" t="s">
        <v>803</v>
      </c>
      <c r="G134" s="160" t="s">
        <v>773</v>
      </c>
      <c r="H134" s="150"/>
    </row>
    <row r="135" spans="2:8">
      <c r="D135" s="238"/>
      <c r="E135" s="238"/>
    </row>
    <row r="136" spans="2:8" ht="16" customHeight="1">
      <c r="B136" s="260" t="s">
        <v>1265</v>
      </c>
      <c r="D136" s="238"/>
      <c r="E136" s="238"/>
    </row>
    <row r="137" spans="2:8" ht="15" customHeight="1">
      <c r="B137" s="37" t="s">
        <v>1266</v>
      </c>
      <c r="C137" s="385">
        <v>7.5000000000000002E-4</v>
      </c>
      <c r="D137" s="169"/>
      <c r="E137" s="389">
        <f t="shared" si="12"/>
        <v>7.5000000000000002E-4</v>
      </c>
      <c r="F137" s="376" t="s">
        <v>1267</v>
      </c>
      <c r="G137" s="160"/>
      <c r="H137" s="150"/>
    </row>
    <row r="138" spans="2:8" ht="15" customHeight="1">
      <c r="B138" s="37" t="s">
        <v>1268</v>
      </c>
      <c r="C138" s="385">
        <v>2.0999999999999999E-3</v>
      </c>
      <c r="D138" s="169"/>
      <c r="E138" s="390">
        <f t="shared" si="12"/>
        <v>2.0999999999999999E-3</v>
      </c>
      <c r="F138" s="376" t="s">
        <v>1267</v>
      </c>
      <c r="G138" s="160"/>
      <c r="H138" s="150"/>
    </row>
    <row r="139" spans="2:8" ht="15" customHeight="1">
      <c r="B139" s="37" t="s">
        <v>1269</v>
      </c>
      <c r="C139" s="385">
        <v>4</v>
      </c>
      <c r="D139" s="169"/>
      <c r="E139" s="386">
        <f t="shared" si="12"/>
        <v>4</v>
      </c>
      <c r="F139" s="376" t="s">
        <v>803</v>
      </c>
      <c r="G139" s="160"/>
      <c r="H139" s="150"/>
    </row>
    <row r="140" spans="2:8" ht="15" customHeight="1">
      <c r="B140" s="37" t="s">
        <v>1270</v>
      </c>
      <c r="C140" s="385">
        <v>250</v>
      </c>
      <c r="D140" s="169"/>
      <c r="E140" s="386">
        <f t="shared" si="12"/>
        <v>250</v>
      </c>
      <c r="F140" s="376" t="s">
        <v>803</v>
      </c>
      <c r="G140" s="160"/>
      <c r="H140" s="150"/>
    </row>
    <row r="141" spans="2:8" ht="15" customHeight="1">
      <c r="B141" s="37" t="s">
        <v>1271</v>
      </c>
      <c r="C141" s="385">
        <v>4</v>
      </c>
      <c r="D141" s="169"/>
      <c r="E141" s="386">
        <f t="shared" si="12"/>
        <v>4</v>
      </c>
      <c r="F141" s="376" t="s">
        <v>803</v>
      </c>
      <c r="G141" s="6" t="s">
        <v>1272</v>
      </c>
      <c r="H141" s="150"/>
    </row>
    <row r="142" spans="2:8" ht="15" customHeight="1">
      <c r="B142" s="37" t="s">
        <v>1273</v>
      </c>
      <c r="C142" s="385">
        <v>4</v>
      </c>
      <c r="D142" s="169"/>
      <c r="E142" s="386">
        <f t="shared" si="12"/>
        <v>4</v>
      </c>
      <c r="F142" s="376" t="s">
        <v>803</v>
      </c>
      <c r="G142" s="160"/>
      <c r="H142" s="150"/>
    </row>
    <row r="143" spans="2:8" ht="15" customHeight="1">
      <c r="B143" s="37" t="s">
        <v>1274</v>
      </c>
      <c r="C143" s="385">
        <v>12</v>
      </c>
      <c r="D143" s="169"/>
      <c r="E143" s="386">
        <f t="shared" si="12"/>
        <v>12</v>
      </c>
      <c r="F143" s="376" t="s">
        <v>803</v>
      </c>
      <c r="G143" s="160"/>
      <c r="H143" s="150"/>
    </row>
    <row r="144" spans="2:8" ht="15" customHeight="1">
      <c r="B144" s="37" t="s">
        <v>1275</v>
      </c>
      <c r="C144" s="385">
        <v>4</v>
      </c>
      <c r="D144" s="169"/>
      <c r="E144" s="386">
        <f t="shared" si="12"/>
        <v>4</v>
      </c>
      <c r="F144" s="376" t="s">
        <v>803</v>
      </c>
      <c r="G144" s="160"/>
      <c r="H144" s="150"/>
    </row>
    <row r="145" spans="1:8" ht="15" customHeight="1">
      <c r="B145" s="37" t="s">
        <v>1276</v>
      </c>
      <c r="C145" s="385">
        <v>5000</v>
      </c>
      <c r="D145" s="169"/>
      <c r="E145" s="386">
        <f t="shared" si="12"/>
        <v>5000</v>
      </c>
      <c r="F145" s="376" t="s">
        <v>675</v>
      </c>
      <c r="G145" s="160"/>
      <c r="H145" s="150"/>
    </row>
    <row r="146" spans="1:8" ht="15" customHeight="1">
      <c r="B146" s="37" t="s">
        <v>1277</v>
      </c>
      <c r="C146" s="385">
        <v>150</v>
      </c>
      <c r="D146" s="169"/>
      <c r="E146" s="386">
        <f t="shared" si="12"/>
        <v>150</v>
      </c>
      <c r="F146" s="376" t="s">
        <v>675</v>
      </c>
      <c r="G146" s="160"/>
      <c r="H146" s="150"/>
    </row>
    <row r="147" spans="1:8" ht="15" customHeight="1">
      <c r="B147" s="37" t="s">
        <v>1278</v>
      </c>
      <c r="C147" s="382">
        <v>0.63</v>
      </c>
      <c r="D147" s="169"/>
      <c r="E147" s="383">
        <f t="shared" ref="E147:E148" si="13">IF(D147="",C147,D147)</f>
        <v>0.63</v>
      </c>
      <c r="F147" s="376" t="s">
        <v>788</v>
      </c>
      <c r="G147" s="160"/>
      <c r="H147" s="150"/>
    </row>
    <row r="148" spans="1:8" ht="15" customHeight="1">
      <c r="B148" s="37" t="s">
        <v>1279</v>
      </c>
      <c r="C148" s="382">
        <v>0.98</v>
      </c>
      <c r="D148" s="169"/>
      <c r="E148" s="383">
        <f t="shared" si="13"/>
        <v>0.98</v>
      </c>
      <c r="F148" s="376" t="s">
        <v>788</v>
      </c>
      <c r="G148" s="160"/>
      <c r="H148" s="150"/>
    </row>
    <row r="149" spans="1:8">
      <c r="D149" s="238"/>
      <c r="E149" s="238"/>
    </row>
    <row r="150" spans="1:8" ht="13">
      <c r="B150" s="260" t="s">
        <v>809</v>
      </c>
      <c r="C150" s="355"/>
      <c r="F150" s="355"/>
    </row>
    <row r="151" spans="1:8">
      <c r="B151" s="37" t="e" cm="1">
        <f t="array" ref="B151">TRANSPOSE(#REF!)</f>
        <v>#REF!</v>
      </c>
      <c r="C151" s="380">
        <v>3</v>
      </c>
      <c r="D151" s="168"/>
      <c r="E151" s="381">
        <f t="shared" si="12"/>
        <v>3</v>
      </c>
      <c r="F151" s="376" t="s">
        <v>227</v>
      </c>
      <c r="G151" s="160"/>
      <c r="H151" s="150"/>
    </row>
    <row r="152" spans="1:8">
      <c r="B152" s="37"/>
      <c r="C152" s="380">
        <v>6</v>
      </c>
      <c r="D152" s="168"/>
      <c r="E152" s="381">
        <f t="shared" si="12"/>
        <v>6</v>
      </c>
      <c r="F152" s="376" t="s">
        <v>227</v>
      </c>
      <c r="G152" s="160"/>
      <c r="H152" s="150"/>
    </row>
    <row r="153" spans="1:8">
      <c r="B153" s="37"/>
      <c r="C153" s="380">
        <v>3</v>
      </c>
      <c r="D153" s="168"/>
      <c r="E153" s="381">
        <f t="shared" si="12"/>
        <v>3</v>
      </c>
      <c r="F153" s="376" t="s">
        <v>227</v>
      </c>
      <c r="G153" s="160"/>
      <c r="H153" s="150"/>
    </row>
    <row r="154" spans="1:8">
      <c r="B154" s="37"/>
      <c r="C154" s="380">
        <v>6</v>
      </c>
      <c r="D154" s="168"/>
      <c r="E154" s="381">
        <f t="shared" si="12"/>
        <v>6</v>
      </c>
      <c r="F154" s="376" t="s">
        <v>227</v>
      </c>
      <c r="G154" s="160"/>
      <c r="H154" s="150"/>
    </row>
    <row r="155" spans="1:8">
      <c r="B155" s="37"/>
      <c r="C155" s="380">
        <v>3</v>
      </c>
      <c r="D155" s="168"/>
      <c r="E155" s="381">
        <f t="shared" si="12"/>
        <v>3</v>
      </c>
      <c r="F155" s="376" t="s">
        <v>227</v>
      </c>
      <c r="G155" s="160"/>
      <c r="H155" s="150"/>
    </row>
    <row r="156" spans="1:8">
      <c r="B156" s="37"/>
      <c r="C156" s="380">
        <v>6</v>
      </c>
      <c r="D156" s="168"/>
      <c r="E156" s="381">
        <f t="shared" si="12"/>
        <v>6</v>
      </c>
      <c r="F156" s="376" t="s">
        <v>227</v>
      </c>
      <c r="G156" s="160"/>
      <c r="H156" s="150"/>
    </row>
    <row r="157" spans="1:8">
      <c r="A157" s="238" t="str" cm="1">
        <f t="array" ref="A157:A159">Surface_cover_list</f>
        <v>Earthen</v>
      </c>
      <c r="B157" s="37" t="s">
        <v>810</v>
      </c>
      <c r="C157" s="380">
        <v>0</v>
      </c>
      <c r="D157" s="168"/>
      <c r="E157" s="381">
        <f t="shared" si="12"/>
        <v>0</v>
      </c>
      <c r="F157" s="376" t="s">
        <v>227</v>
      </c>
      <c r="G157" s="160"/>
      <c r="H157" s="150"/>
    </row>
    <row r="158" spans="1:8">
      <c r="A158" s="238" t="str">
        <v>Gravel / rock</v>
      </c>
      <c r="B158" s="37" t="s">
        <v>811</v>
      </c>
      <c r="C158" s="380">
        <v>0.15</v>
      </c>
      <c r="D158" s="168"/>
      <c r="E158" s="381">
        <f t="shared" si="12"/>
        <v>0.15</v>
      </c>
      <c r="F158" s="376" t="s">
        <v>227</v>
      </c>
      <c r="G158" s="160"/>
      <c r="H158" s="150"/>
    </row>
    <row r="159" spans="1:8">
      <c r="A159" s="238" t="str">
        <v>Bitumen</v>
      </c>
      <c r="B159" s="37" t="s">
        <v>812</v>
      </c>
      <c r="C159" s="380">
        <v>0.25</v>
      </c>
      <c r="D159" s="168"/>
      <c r="E159" s="381">
        <f t="shared" si="12"/>
        <v>0.25</v>
      </c>
      <c r="F159" s="376" t="s">
        <v>227</v>
      </c>
      <c r="G159" s="160"/>
      <c r="H159" s="150"/>
    </row>
    <row r="160" spans="1:8">
      <c r="E160" s="238"/>
    </row>
    <row r="161" spans="2:8" ht="13">
      <c r="B161" s="260" t="s">
        <v>813</v>
      </c>
      <c r="E161" s="238"/>
    </row>
    <row r="162" spans="2:8">
      <c r="B162" s="37" t="s">
        <v>814</v>
      </c>
      <c r="C162" s="388" t="s">
        <v>815</v>
      </c>
      <c r="D162" s="168"/>
      <c r="E162" s="381" t="str">
        <f t="shared" ref="E162:E164" si="14">IF(D162="",C162,D162)</f>
        <v>30 to 35 km</v>
      </c>
      <c r="F162" s="376" t="s">
        <v>86</v>
      </c>
      <c r="G162" s="14" t="s">
        <v>816</v>
      </c>
      <c r="H162" s="150"/>
    </row>
    <row r="163" spans="2:8">
      <c r="B163" s="37" t="s">
        <v>817</v>
      </c>
      <c r="C163" s="388" t="s">
        <v>815</v>
      </c>
      <c r="D163" s="168"/>
      <c r="E163" s="381" t="str">
        <f t="shared" si="14"/>
        <v>30 to 35 km</v>
      </c>
      <c r="F163" s="376" t="s">
        <v>86</v>
      </c>
      <c r="G163" s="160"/>
      <c r="H163" s="150"/>
    </row>
    <row r="164" spans="2:8">
      <c r="B164" s="37" t="s">
        <v>818</v>
      </c>
      <c r="C164" s="388" t="s">
        <v>815</v>
      </c>
      <c r="D164" s="168"/>
      <c r="E164" s="381" t="str">
        <f t="shared" si="14"/>
        <v>30 to 35 km</v>
      </c>
      <c r="F164" s="376" t="s">
        <v>86</v>
      </c>
      <c r="G164" s="160"/>
      <c r="H164" s="150"/>
    </row>
    <row r="165" spans="2:8">
      <c r="B165" s="37" t="s">
        <v>819</v>
      </c>
      <c r="C165" s="388" t="s">
        <v>800</v>
      </c>
      <c r="D165" s="168"/>
      <c r="E165" s="381" t="str">
        <f>IF(D165="",C165,D165)</f>
        <v>50 to 60 km</v>
      </c>
      <c r="F165" s="376" t="s">
        <v>86</v>
      </c>
      <c r="G165" s="6" t="s">
        <v>820</v>
      </c>
      <c r="H165" s="150"/>
    </row>
    <row r="167" spans="2:8" ht="13">
      <c r="B167" s="260" t="s">
        <v>492</v>
      </c>
      <c r="E167" s="238"/>
    </row>
    <row r="168" spans="2:8">
      <c r="B168" s="37" t="s">
        <v>821</v>
      </c>
      <c r="C168" s="380">
        <v>0.25</v>
      </c>
      <c r="D168" s="168"/>
      <c r="E168" s="381">
        <f t="shared" ref="E168:E176" si="15">IF(D168="",C168,D168)</f>
        <v>0.25</v>
      </c>
      <c r="F168" s="376" t="s">
        <v>376</v>
      </c>
      <c r="G168" s="160"/>
      <c r="H168" s="150"/>
    </row>
    <row r="169" spans="2:8">
      <c r="B169" s="37" t="s">
        <v>822</v>
      </c>
      <c r="C169" s="380">
        <v>1.25</v>
      </c>
      <c r="D169" s="168"/>
      <c r="E169" s="381">
        <f t="shared" si="15"/>
        <v>1.25</v>
      </c>
      <c r="F169" s="376" t="s">
        <v>227</v>
      </c>
      <c r="G169" s="160"/>
      <c r="H169" s="150"/>
    </row>
    <row r="170" spans="2:8">
      <c r="B170" s="37" t="s">
        <v>823</v>
      </c>
      <c r="C170" s="380">
        <v>2.25</v>
      </c>
      <c r="D170" s="168"/>
      <c r="E170" s="381">
        <f t="shared" si="15"/>
        <v>2.25</v>
      </c>
      <c r="F170" s="376" t="s">
        <v>227</v>
      </c>
      <c r="G170" s="160"/>
      <c r="H170" s="150"/>
    </row>
    <row r="171" spans="2:8">
      <c r="B171" s="37" t="s">
        <v>1072</v>
      </c>
      <c r="C171" s="380">
        <v>3.25</v>
      </c>
      <c r="D171" s="168"/>
      <c r="E171" s="381">
        <f t="shared" si="15"/>
        <v>3.25</v>
      </c>
      <c r="F171" s="376"/>
      <c r="G171" s="160"/>
      <c r="H171" s="150"/>
    </row>
    <row r="172" spans="2:8">
      <c r="B172" s="37" t="s">
        <v>1073</v>
      </c>
      <c r="C172" s="380">
        <v>4.25</v>
      </c>
      <c r="D172" s="168"/>
      <c r="E172" s="381">
        <f t="shared" si="15"/>
        <v>4.25</v>
      </c>
      <c r="F172" s="376"/>
      <c r="G172" s="160"/>
      <c r="H172" s="150"/>
    </row>
    <row r="173" spans="2:8">
      <c r="B173" s="37" t="s">
        <v>1074</v>
      </c>
      <c r="C173" s="380">
        <v>5.25</v>
      </c>
      <c r="D173" s="168"/>
      <c r="E173" s="381">
        <f t="shared" si="15"/>
        <v>5.25</v>
      </c>
      <c r="F173" s="376" t="s">
        <v>325</v>
      </c>
      <c r="G173" s="160"/>
      <c r="H173" s="150"/>
    </row>
    <row r="174" spans="2:8">
      <c r="B174" s="37" t="s">
        <v>1075</v>
      </c>
      <c r="C174" s="380">
        <v>6.25</v>
      </c>
      <c r="D174" s="168"/>
      <c r="E174" s="381">
        <f t="shared" si="15"/>
        <v>6.25</v>
      </c>
      <c r="F174" s="376" t="s">
        <v>951</v>
      </c>
      <c r="G174" s="160"/>
      <c r="H174" s="150"/>
    </row>
    <row r="175" spans="2:8">
      <c r="B175" s="37" t="s">
        <v>1087</v>
      </c>
      <c r="C175" s="380">
        <v>7.25</v>
      </c>
      <c r="D175" s="168"/>
      <c r="E175" s="381">
        <f t="shared" si="15"/>
        <v>7.25</v>
      </c>
      <c r="F175" s="376" t="s">
        <v>227</v>
      </c>
      <c r="G175" s="160"/>
      <c r="H175" s="150"/>
    </row>
    <row r="176" spans="2:8">
      <c r="B176" s="37" t="s">
        <v>1089</v>
      </c>
      <c r="C176" s="380">
        <v>8.25</v>
      </c>
      <c r="D176" s="168"/>
      <c r="E176" s="381">
        <f t="shared" si="15"/>
        <v>8.25</v>
      </c>
      <c r="F176" s="376"/>
      <c r="G176" s="160"/>
      <c r="H176" s="150"/>
    </row>
    <row r="177" spans="2:8">
      <c r="E177" s="238"/>
    </row>
    <row r="178" spans="2:8" ht="13">
      <c r="B178" s="260" t="s">
        <v>824</v>
      </c>
      <c r="E178" s="238"/>
    </row>
    <row r="179" spans="2:8">
      <c r="B179" s="37" t="s">
        <v>825</v>
      </c>
      <c r="C179" s="380">
        <v>11.25</v>
      </c>
      <c r="D179" s="168"/>
      <c r="E179" s="381">
        <f t="shared" ref="E179" si="16">IF(D179="",C179,D179)</f>
        <v>11.25</v>
      </c>
      <c r="F179" s="376" t="s">
        <v>951</v>
      </c>
      <c r="G179" s="160"/>
      <c r="H179" s="150"/>
    </row>
  </sheetData>
  <sheetProtection algorithmName="SHA-512" hashValue="srZavZqBSJLO+ogJJTARJ391xKZGNv3lTmPYKdCu6hBW9qDfoTE6L7EB/m+/I66opvohyJUJnODIHQaOjiySvQ==" saltValue="hFmkjE7tFFAZiuVKPaOjhw==" spinCount="100000" sheet="1" objects="1" scenarios="1" autoFilter="0"/>
  <phoneticPr fontId="8" type="noConversion"/>
  <dataValidations count="3">
    <dataValidation type="custom" allowBlank="1" showInputMessage="1" showErrorMessage="1" error="Please enter a numeric value." sqref="D168:D179" xr:uid="{A8A62DDB-17A4-41A7-840A-AE5A81FFEF62}">
      <formula1>ISNUMBER(D168:D179)</formula1>
    </dataValidation>
    <dataValidation type="custom" allowBlank="1" showInputMessage="1" showErrorMessage="1" error="Please enter a numeric value." sqref="D129:D159" xr:uid="{8D2DE442-D2C9-46B0-B078-7026C315A9F4}">
      <formula1>ISNUMBER(D129:D159)</formula1>
    </dataValidation>
    <dataValidation type="custom" allowBlank="1" showInputMessage="1" showErrorMessage="1" error="Please enter a numeric value." sqref="D9:D123" xr:uid="{637F9807-F65E-4EA2-8B4C-811FBE519B8E}">
      <formula1>ISNUMBER(D9:D1048471)</formula1>
    </dataValidation>
  </dataValidations>
  <hyperlinks>
    <hyperlink ref="B5" location="Information" display="Return to Information" xr:uid="{7D5500FD-9BD6-4F3E-B430-B48955F1C343}"/>
    <hyperlink ref="G106" r:id="rId1" xr:uid="{8031641F-7E77-4DF6-985E-96E093FB9D7F}"/>
  </hyperlinks>
  <pageMargins left="0.7" right="0.7" top="0.75" bottom="0.75" header="0.3" footer="0.3"/>
  <pageSetup paperSize="9" orientation="portrait" r:id="rId2"/>
  <extLst>
    <ext xmlns:x14="http://schemas.microsoft.com/office/spreadsheetml/2009/9/main" uri="{CCE6A557-97BC-4b89-ADB6-D9C93CAAB3DF}">
      <x14:dataValidations xmlns:xm="http://schemas.microsoft.com/office/excel/2006/main" count="1">
        <x14:dataValidation type="list" allowBlank="1" showInputMessage="1" showErrorMessage="1" xr:uid="{27F50702-7366-4997-A7E3-0887E6AD6297}">
          <x14:formula1>
            <xm:f>Lists!$B$51:$B$69</xm:f>
          </x14:formula1>
          <xm:sqref>C126:D126 C162:D165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E11E63-A836-4E5C-B2F1-52AE7D1F59A3}">
  <sheetPr codeName="Sheet14">
    <tabColor theme="5" tint="0.39997558519241921"/>
  </sheetPr>
  <dimension ref="A2:N13"/>
  <sheetViews>
    <sheetView showGridLines="0" zoomScaleNormal="100" workbookViewId="0"/>
  </sheetViews>
  <sheetFormatPr defaultColWidth="8.7265625" defaultRowHeight="12.5"/>
  <cols>
    <col min="1" max="1" width="3.453125" style="214" customWidth="1"/>
    <col min="2" max="2" width="34.7265625" style="214" bestFit="1" customWidth="1"/>
    <col min="3" max="8" width="10.54296875" style="214" customWidth="1"/>
    <col min="9" max="9" width="2.81640625" style="214" customWidth="1"/>
    <col min="10" max="10" width="27.54296875" style="214" customWidth="1"/>
    <col min="11" max="11" width="8.7265625" style="214"/>
    <col min="12" max="14" width="10.54296875" style="214" customWidth="1"/>
    <col min="15" max="16384" width="8.7265625" style="214"/>
  </cols>
  <sheetData>
    <row r="2" spans="1:14" ht="13">
      <c r="B2" s="221" t="str">
        <f>Project_Name</f>
        <v xml:space="preserve">South Australia Hydrogen and Renewable Energy Restoration Cost Estimation Tool </v>
      </c>
    </row>
    <row r="3" spans="1:14">
      <c r="B3" s="4" t="s">
        <v>31</v>
      </c>
    </row>
    <row r="4" spans="1:14" ht="13">
      <c r="B4" s="347" t="s">
        <v>23</v>
      </c>
      <c r="D4" s="221"/>
    </row>
    <row r="5" spans="1:14" ht="26">
      <c r="B5" s="225"/>
      <c r="C5" s="391" t="s">
        <v>330</v>
      </c>
      <c r="D5" s="391" t="s">
        <v>826</v>
      </c>
      <c r="E5" s="391" t="s">
        <v>827</v>
      </c>
      <c r="F5" s="391" t="s">
        <v>828</v>
      </c>
      <c r="G5" s="391" t="s">
        <v>829</v>
      </c>
      <c r="H5" s="391" t="s">
        <v>830</v>
      </c>
      <c r="J5" s="391" t="s">
        <v>831</v>
      </c>
      <c r="L5" s="391" t="s">
        <v>832</v>
      </c>
      <c r="M5" s="391" t="s">
        <v>833</v>
      </c>
      <c r="N5" s="391" t="s">
        <v>415</v>
      </c>
    </row>
    <row r="6" spans="1:14" ht="13">
      <c r="B6" s="225" t="s">
        <v>436</v>
      </c>
      <c r="C6" s="391" t="s">
        <v>325</v>
      </c>
      <c r="D6" s="391" t="s">
        <v>834</v>
      </c>
      <c r="E6" s="391" t="s">
        <v>834</v>
      </c>
      <c r="F6" s="391" t="s">
        <v>834</v>
      </c>
      <c r="G6" s="391" t="s">
        <v>834</v>
      </c>
      <c r="H6" s="391" t="s">
        <v>834</v>
      </c>
      <c r="J6" s="391"/>
      <c r="L6" s="391" t="s">
        <v>227</v>
      </c>
      <c r="M6" s="391" t="s">
        <v>227</v>
      </c>
      <c r="N6" s="391" t="s">
        <v>835</v>
      </c>
    </row>
    <row r="7" spans="1:14" ht="13">
      <c r="A7" s="214">
        <v>1</v>
      </c>
      <c r="B7" s="172" t="s">
        <v>66</v>
      </c>
      <c r="C7" s="392">
        <v>30</v>
      </c>
      <c r="D7" s="173">
        <v>0.7</v>
      </c>
      <c r="E7" s="173">
        <v>0.2</v>
      </c>
      <c r="F7" s="173">
        <v>8.0000000000000002E-3</v>
      </c>
      <c r="G7" s="173">
        <v>0</v>
      </c>
      <c r="H7" s="173">
        <f>100%-SUM(D7:G7)</f>
        <v>9.2000000000000082E-2</v>
      </c>
      <c r="J7" s="393"/>
      <c r="L7" s="394">
        <v>2</v>
      </c>
      <c r="M7" s="394">
        <v>1</v>
      </c>
      <c r="N7" s="394">
        <f>L7*M7</f>
        <v>2</v>
      </c>
    </row>
    <row r="8" spans="1:14" ht="13">
      <c r="B8" s="172" t="s">
        <v>67</v>
      </c>
      <c r="C8" s="392">
        <v>28</v>
      </c>
      <c r="D8" s="173">
        <v>0.72</v>
      </c>
      <c r="E8" s="173">
        <v>0.08</v>
      </c>
      <c r="F8" s="173">
        <v>0.01</v>
      </c>
      <c r="G8" s="173">
        <v>0.01</v>
      </c>
      <c r="H8" s="173">
        <f>100%-SUM(D8:G8)</f>
        <v>0.18000000000000005</v>
      </c>
      <c r="J8" s="393"/>
      <c r="L8" s="394">
        <v>1.8</v>
      </c>
      <c r="M8" s="394">
        <v>1</v>
      </c>
      <c r="N8" s="394">
        <f t="shared" ref="N8:N11" si="0">L8*M8</f>
        <v>1.8</v>
      </c>
    </row>
    <row r="9" spans="1:14" ht="13">
      <c r="B9" s="174" t="s">
        <v>836</v>
      </c>
      <c r="C9" s="175"/>
      <c r="D9" s="176"/>
      <c r="E9" s="176"/>
      <c r="F9" s="176"/>
      <c r="G9" s="176"/>
      <c r="H9" s="173">
        <f t="shared" ref="H9:H11" si="1">100%-SUM(D9:G9)</f>
        <v>1</v>
      </c>
      <c r="J9" s="177"/>
      <c r="L9" s="178"/>
      <c r="M9" s="178"/>
      <c r="N9" s="394">
        <f t="shared" si="0"/>
        <v>0</v>
      </c>
    </row>
    <row r="10" spans="1:14" ht="13">
      <c r="B10" s="174" t="s">
        <v>837</v>
      </c>
      <c r="C10" s="175"/>
      <c r="D10" s="176"/>
      <c r="E10" s="176"/>
      <c r="F10" s="176"/>
      <c r="G10" s="176"/>
      <c r="H10" s="173">
        <f t="shared" si="1"/>
        <v>1</v>
      </c>
      <c r="J10" s="177"/>
      <c r="L10" s="178"/>
      <c r="M10" s="178"/>
      <c r="N10" s="394">
        <f t="shared" si="0"/>
        <v>0</v>
      </c>
    </row>
    <row r="11" spans="1:14" ht="13">
      <c r="B11" s="174" t="s">
        <v>838</v>
      </c>
      <c r="C11" s="175"/>
      <c r="D11" s="176"/>
      <c r="E11" s="176"/>
      <c r="F11" s="176"/>
      <c r="G11" s="176"/>
      <c r="H11" s="173">
        <f t="shared" si="1"/>
        <v>1</v>
      </c>
      <c r="J11" s="177"/>
      <c r="L11" s="178"/>
      <c r="M11" s="178"/>
      <c r="N11" s="394">
        <f t="shared" si="0"/>
        <v>0</v>
      </c>
    </row>
    <row r="13" spans="1:14">
      <c r="A13" s="214">
        <f>A7</f>
        <v>1</v>
      </c>
      <c r="B13" s="214" t="s">
        <v>839</v>
      </c>
    </row>
  </sheetData>
  <sheetProtection algorithmName="SHA-512" hashValue="IbYTsGOPBLS2kxjAUvfmHZJZ5uXnF+jFYQqU23JeSoAaOHT+QtIgL6JQMzkasJMe2Akobvd8SzKa9ig5WnEAFg==" saltValue="0JWrB1Lj9l7+9S8wfUkOmQ==" spinCount="100000" sheet="1" objects="1" scenarios="1" autoFilter="0"/>
  <phoneticPr fontId="8" type="noConversion"/>
  <dataValidations count="3">
    <dataValidation type="custom" allowBlank="1" showInputMessage="1" showErrorMessage="1" error="Please enter a numeric value." sqref="C9:C11" xr:uid="{70299D8F-A37D-421A-966C-25ADA0F3580D}">
      <formula1>ISNUMBER(C9:C11)</formula1>
    </dataValidation>
    <dataValidation type="decimal" allowBlank="1" showInputMessage="1" showErrorMessage="1" error="Please enter a valid percentage." sqref="D9:G11" xr:uid="{DAC219A0-73BA-4C6C-961D-468D39205516}">
      <formula1>0</formula1>
      <formula2>100</formula2>
    </dataValidation>
    <dataValidation type="custom" allowBlank="1" showInputMessage="1" showErrorMessage="1" error="Please enter a numeric value." sqref="L9:M11" xr:uid="{D2F01C58-077F-48C2-8346-90E2317145D3}">
      <formula1>ISNUMBER(L9:M11)</formula1>
    </dataValidation>
  </dataValidations>
  <hyperlinks>
    <hyperlink ref="B3" location="Information" display="Return to Information" xr:uid="{E6F3C0A0-2846-4CEC-BF08-66E8B2A954FA}"/>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DFB8A-43E1-48AC-9641-3EC052A0EE17}">
  <sheetPr codeName="Sheet15">
    <tabColor theme="5" tint="0.39997558519241921"/>
  </sheetPr>
  <dimension ref="A2:BM55"/>
  <sheetViews>
    <sheetView showGridLines="0" workbookViewId="0">
      <pane xSplit="3" ySplit="4" topLeftCell="D5" activePane="bottomRight" state="frozen"/>
      <selection pane="topRight" activeCell="D904" sqref="D904"/>
      <selection pane="bottomLeft" activeCell="D904" sqref="D904"/>
      <selection pane="bottomRight"/>
    </sheetView>
  </sheetViews>
  <sheetFormatPr defaultColWidth="8.7265625" defaultRowHeight="12.5"/>
  <cols>
    <col min="1" max="1" width="3.453125" style="214" customWidth="1"/>
    <col min="2" max="2" width="34.7265625" style="214" customWidth="1"/>
    <col min="3" max="3" width="10.54296875" style="214" customWidth="1"/>
    <col min="4" max="65" width="6.7265625" style="214" customWidth="1"/>
    <col min="66" max="72" width="10.54296875" style="214" customWidth="1"/>
    <col min="73" max="73" width="4" style="214" customWidth="1"/>
    <col min="74" max="77" width="10.54296875" style="214" customWidth="1"/>
    <col min="78" max="16384" width="8.7265625" style="214"/>
  </cols>
  <sheetData>
    <row r="2" spans="2:65" ht="13">
      <c r="B2" s="221" t="str">
        <f>Project_Name</f>
        <v xml:space="preserve">South Australia Hydrogen and Renewable Energy Restoration Cost Estimation Tool </v>
      </c>
      <c r="L2" s="179"/>
      <c r="M2" s="214" t="s">
        <v>1088</v>
      </c>
    </row>
    <row r="3" spans="2:65">
      <c r="B3" s="4" t="s">
        <v>31</v>
      </c>
    </row>
    <row r="4" spans="2:65" ht="164.25" customHeight="1">
      <c r="B4" s="347" t="s">
        <v>25</v>
      </c>
      <c r="C4" s="395" t="s">
        <v>51</v>
      </c>
      <c r="D4" s="180" t="s">
        <v>436</v>
      </c>
      <c r="E4" s="180" t="str">
        <f>CONCATENATE("Vestas V27‑225kW (T",E27,$C27,")")</f>
        <v>Vestas V27‑225kW (T33.5m)</v>
      </c>
      <c r="F4" s="180" t="str">
        <f>CONCATENATE("Vestas V39‑500kW (T",F27,$C27,")")</f>
        <v>Vestas V39‑500kW (T40.5m)</v>
      </c>
      <c r="G4" s="180" t="str">
        <f>CONCATENATE("Vestas V39‑500kW (T",G27,$C27,")")</f>
        <v>Vestas V39‑500kW (T53m)</v>
      </c>
      <c r="H4" s="180" t="str">
        <f>CONCATENATE("Vestas V42‑500kW (T",H27,$C27,")")</f>
        <v>Vestas V42‑500kW (T40.5m)</v>
      </c>
      <c r="I4" s="180" t="str">
        <f>CONCATENATE("Vestas V42‑500kW (T",I27,$C27,")")</f>
        <v>Vestas V42‑500kW (T53m)</v>
      </c>
      <c r="J4" s="180" t="s">
        <v>840</v>
      </c>
      <c r="K4" s="180" t="str">
        <f>CONCATENATE("Vestas V42‑600kW (T",K27,$C27,")")</f>
        <v>Vestas V42‑600kW (T40.5m)</v>
      </c>
      <c r="L4" s="180" t="str">
        <f>CONCATENATE("Vestas V42‑600kW (T",L27,$C27,")")</f>
        <v>Vestas V42‑600kW (T53m)</v>
      </c>
      <c r="M4" s="180" t="str">
        <f>CONCATENATE("Vestas V44‑600kW (T",M27,$C27,")")</f>
        <v>Vestas V44‑600kW (T40.5m)</v>
      </c>
      <c r="N4" s="180" t="str">
        <f>CONCATENATE("Vestas V44‑600kW (T",N27,$C27,")")</f>
        <v>Vestas V44‑600kW (T53m)</v>
      </c>
      <c r="O4" s="180" t="str">
        <f>CONCATENATE("Vestas V44‑600kW (T",O27,$C27,")")</f>
        <v>Vestas V44‑600kW (T63m)</v>
      </c>
      <c r="P4" s="180" t="str">
        <f>CONCATENATE("Enercon E44/600 (T",P27,$C27,")")</f>
        <v>Enercon E44/600 (T50m)</v>
      </c>
      <c r="Q4" s="180" t="str">
        <f>CONCATENATE("Enercon E44/600 (T",Q27,$C27,")")</f>
        <v>Enercon E44/600 (T78m)</v>
      </c>
      <c r="R4" s="180" t="str">
        <f>CONCATENATE("Vestas V47‑660kW (T",R27,$C27,")")</f>
        <v>Vestas V47‑660kW (T40m)</v>
      </c>
      <c r="S4" s="180" t="str">
        <f>CONCATENATE("Vestas V47‑660kW (T",S27,$C27,")")</f>
        <v>Vestas V47‑660kW (T45m)</v>
      </c>
      <c r="T4" s="180" t="str">
        <f>CONCATENATE("Vestas V47‑660kW (T",T27,$C27,")")</f>
        <v>Vestas V47‑660kW (T50m)</v>
      </c>
      <c r="U4" s="180" t="str">
        <f>CONCATENATE("Vestas V47‑660kW (T",U27,$C27,")")</f>
        <v>Vestas V47‑660kW (T55m)</v>
      </c>
      <c r="V4" s="180" t="str">
        <f>CONCATENATE("Vestas V112‑3.3MW (T",V27,$C27,")")</f>
        <v>Vestas V112‑3.3MW (T84m)</v>
      </c>
      <c r="W4" s="180" t="str">
        <f t="shared" ref="W4:X4" si="0">CONCATENATE("Vestas V112‑3.3MW (T",W27,$C27,")")</f>
        <v>Vestas V112‑3.3MW (T94m)</v>
      </c>
      <c r="X4" s="180" t="str">
        <f t="shared" si="0"/>
        <v>Vestas V112‑3.3MW (T119m)</v>
      </c>
      <c r="Y4" s="180" t="str">
        <f>CONCATENATE("Vestas V117-3.45MW (T",Y27,$C27,")")</f>
        <v>Vestas V117-3.45MW (T80m)</v>
      </c>
      <c r="Z4" s="180" t="str">
        <f t="shared" ref="Z4:AA4" si="1">CONCATENATE("Vestas V117-3.45MW (T",Z27,$C27,")")</f>
        <v>Vestas V117-3.45MW (T91.5m)</v>
      </c>
      <c r="AA4" s="180" t="str">
        <f t="shared" si="1"/>
        <v>Vestas V117-3.45MW (T116.5m)</v>
      </c>
      <c r="AB4" s="180" t="str">
        <f>CONCATENATE("Vestas V136-3.6 MW (T",AB27,$C27,")")</f>
        <v>Vestas V136-3.6 MW (T82m)</v>
      </c>
      <c r="AC4" s="180" t="str">
        <f t="shared" ref="AC4:AE4" si="2">CONCATENATE("Vestas V136-3.6 MW (T",AC27,$C27,")")</f>
        <v>Vestas V136-3.6 MW (T112m)</v>
      </c>
      <c r="AD4" s="180" t="str">
        <f t="shared" si="2"/>
        <v>Vestas V136-3.6 MW (T142m)</v>
      </c>
      <c r="AE4" s="180" t="str">
        <f t="shared" si="2"/>
        <v>Vestas V136-3.6 MW (T166m)</v>
      </c>
      <c r="AF4" s="180" t="str">
        <f>CONCATENATE("GE 3.6-137 (T",AF27,$C27,")")</f>
        <v>GE 3.6-137 (T110m)</v>
      </c>
      <c r="AG4" s="180" t="str">
        <f t="shared" ref="AG4:AI4" si="3">CONCATENATE("GE 3.6-137 (T",AG27,$C27,")")</f>
        <v>GE 3.6-137 (T131.4m)</v>
      </c>
      <c r="AH4" s="180" t="str">
        <f t="shared" si="3"/>
        <v>GE 3.6-137 (T149m)</v>
      </c>
      <c r="AI4" s="180" t="str">
        <f t="shared" si="3"/>
        <v>GE 3.6-137 (T164.5m)</v>
      </c>
      <c r="AJ4" s="180" t="str">
        <f>CONCATENATE("GE 3.8-130 (T",AJ27,$C27,")")</f>
        <v>GE 3.8-130 (T85m)</v>
      </c>
      <c r="AK4" s="180" t="str">
        <f t="shared" ref="AK4:AM4" si="4">CONCATENATE("GE 3.8-130 (T",AK27,$C27,")")</f>
        <v>GE 3.8-130 (T110m)</v>
      </c>
      <c r="AL4" s="180" t="str">
        <f t="shared" si="4"/>
        <v>GE 3.8-130 (T131.4m)</v>
      </c>
      <c r="AM4" s="180" t="str">
        <f t="shared" si="4"/>
        <v>GE 3.8-130 (T164.5m)</v>
      </c>
      <c r="AN4" s="180" t="str">
        <f>CONCATENATE("Vestas V150-4.2MW (T",AN27,"m)")</f>
        <v>Vestas V150-4.2MW (T105m)</v>
      </c>
      <c r="AO4" s="180" t="str">
        <f t="shared" ref="AO4:AR4" si="5">CONCATENATE("Vestas V150-4.2MW (T",AO27,"m)")</f>
        <v>Vestas V150-4.2MW (T123m)</v>
      </c>
      <c r="AP4" s="180" t="str">
        <f t="shared" si="5"/>
        <v>Vestas V150-4.2MW (T145m)</v>
      </c>
      <c r="AQ4" s="180" t="str">
        <f t="shared" si="5"/>
        <v>Vestas V150-4.2MW (T155m)</v>
      </c>
      <c r="AR4" s="180" t="str">
        <f t="shared" si="5"/>
        <v>Vestas V150-4.2MW (T166m)</v>
      </c>
      <c r="AS4" s="180" t="str">
        <f>CONCATENATE("Vestas V162-6.2MW (T",AS27,"m)")</f>
        <v>Vestas V162-6.2MW (T119m)</v>
      </c>
      <c r="AT4" s="180" t="str">
        <f>CONCATENATE("Vestas V162-6.2MW (T",AT27,"m)")</f>
        <v>Vestas V162-6.2MW (T125m)</v>
      </c>
      <c r="AU4" s="180" t="str">
        <f>CONCATENATE("Vestas V162-6.2MW (T",AU27,"m)")</f>
        <v>Vestas V162-6.2MW (T149m)</v>
      </c>
      <c r="AV4" s="180" t="str">
        <f>CONCATENATE("Vestas V162-6.2MW (T",AV27,"m)")</f>
        <v>Vestas V162-6.2MW (T166m)</v>
      </c>
      <c r="AW4" s="180" t="str">
        <f>CONCATENATE("Vestas V162-6.2MW (T",AW27,"m)")</f>
        <v>Vestas V162-6.2MW (T169m)</v>
      </c>
      <c r="AX4" s="180" t="str">
        <f>CONCATENATE("Goldwind 4.5 MW (T",AX27,"m)")</f>
        <v>Goldwind 4.5 MW (T110m)</v>
      </c>
      <c r="AY4" s="180" t="str">
        <f>CONCATENATE("Vestas V162-5.6MW (T",AY27,"m)")</f>
        <v>Vestas V162-5.6MW (T119m)</v>
      </c>
      <c r="AZ4" s="180" t="str">
        <f t="shared" ref="AZ4:BB4" si="6">CONCATENATE("Vestas V162-5.6MW (T",AZ27,"m)")</f>
        <v>Vestas V162-5.6MW (T125m)</v>
      </c>
      <c r="BA4" s="180" t="str">
        <f t="shared" si="6"/>
        <v>Vestas V162-5.6MW (T149m)</v>
      </c>
      <c r="BB4" s="180" t="str">
        <f t="shared" si="6"/>
        <v>Vestas V162-5.6MW (T166m)</v>
      </c>
      <c r="BC4" s="180" t="str">
        <f>CONCATENATE("Nordex Delta 4000-N163 (T",BC27,"m)")</f>
        <v>Nordex Delta 4000-N163 (T118m)</v>
      </c>
      <c r="BD4" s="180" t="str">
        <f>CONCATENATE("Nordex Delta 4000-N163 (T",BD27,"m)")</f>
        <v>Nordex Delta 4000-N163 (T164m)</v>
      </c>
      <c r="BE4" s="180" t="s">
        <v>841</v>
      </c>
      <c r="BF4" s="191" t="s">
        <v>836</v>
      </c>
      <c r="BG4" s="191" t="s">
        <v>837</v>
      </c>
      <c r="BH4" s="191" t="s">
        <v>838</v>
      </c>
      <c r="BI4" s="191" t="s">
        <v>1152</v>
      </c>
      <c r="BJ4" s="191" t="s">
        <v>1153</v>
      </c>
      <c r="BK4" s="191" t="s">
        <v>1154</v>
      </c>
      <c r="BL4" s="191" t="s">
        <v>1155</v>
      </c>
      <c r="BM4" s="191" t="s">
        <v>1156</v>
      </c>
    </row>
    <row r="5" spans="2:65">
      <c r="B5" s="181" t="s">
        <v>63</v>
      </c>
      <c r="C5" s="182" t="s">
        <v>64</v>
      </c>
      <c r="D5" s="392"/>
      <c r="E5" s="392">
        <v>0.22500000000000001</v>
      </c>
      <c r="F5" s="392">
        <v>0.5</v>
      </c>
      <c r="G5" s="392">
        <v>0.5</v>
      </c>
      <c r="H5" s="392">
        <v>0.5</v>
      </c>
      <c r="I5" s="392">
        <v>0.5</v>
      </c>
      <c r="J5" s="392">
        <v>0.5</v>
      </c>
      <c r="K5" s="392">
        <v>0.6</v>
      </c>
      <c r="L5" s="392">
        <f>K5</f>
        <v>0.6</v>
      </c>
      <c r="M5" s="392">
        <f>K5</f>
        <v>0.6</v>
      </c>
      <c r="N5" s="392">
        <f>L5</f>
        <v>0.6</v>
      </c>
      <c r="O5" s="392">
        <f>M5</f>
        <v>0.6</v>
      </c>
      <c r="P5" s="392">
        <v>0.9</v>
      </c>
      <c r="Q5" s="392">
        <f>P5</f>
        <v>0.9</v>
      </c>
      <c r="R5" s="394">
        <v>0.66</v>
      </c>
      <c r="S5" s="394">
        <f>$R5</f>
        <v>0.66</v>
      </c>
      <c r="T5" s="394">
        <f t="shared" ref="T5:U6" si="7">$R5</f>
        <v>0.66</v>
      </c>
      <c r="U5" s="394">
        <f t="shared" si="7"/>
        <v>0.66</v>
      </c>
      <c r="V5" s="392">
        <v>3.3</v>
      </c>
      <c r="W5" s="392">
        <v>3.3</v>
      </c>
      <c r="X5" s="392">
        <v>3.3</v>
      </c>
      <c r="Y5" s="392">
        <v>3.45</v>
      </c>
      <c r="Z5" s="392">
        <f>Y5</f>
        <v>3.45</v>
      </c>
      <c r="AA5" s="392">
        <f>Z5</f>
        <v>3.45</v>
      </c>
      <c r="AB5" s="392">
        <v>3.6</v>
      </c>
      <c r="AC5" s="392">
        <f>AB5</f>
        <v>3.6</v>
      </c>
      <c r="AD5" s="392">
        <f t="shared" ref="AD5:AE5" si="8">AC5</f>
        <v>3.6</v>
      </c>
      <c r="AE5" s="392">
        <f t="shared" si="8"/>
        <v>3.6</v>
      </c>
      <c r="AF5" s="392">
        <v>3.6</v>
      </c>
      <c r="AG5" s="392">
        <f>AF5</f>
        <v>3.6</v>
      </c>
      <c r="AH5" s="392">
        <f t="shared" ref="AH5:AI5" si="9">AG5</f>
        <v>3.6</v>
      </c>
      <c r="AI5" s="392">
        <f t="shared" si="9"/>
        <v>3.6</v>
      </c>
      <c r="AJ5" s="392">
        <v>3.8</v>
      </c>
      <c r="AK5" s="392">
        <f>AJ5</f>
        <v>3.8</v>
      </c>
      <c r="AL5" s="392">
        <f t="shared" ref="AL5:AM5" si="10">AK5</f>
        <v>3.8</v>
      </c>
      <c r="AM5" s="392">
        <f t="shared" si="10"/>
        <v>3.8</v>
      </c>
      <c r="AN5" s="392">
        <v>4.2</v>
      </c>
      <c r="AO5" s="392">
        <f>AN5</f>
        <v>4.2</v>
      </c>
      <c r="AP5" s="392">
        <f t="shared" ref="AP5:AR5" si="11">AO5</f>
        <v>4.2</v>
      </c>
      <c r="AQ5" s="392">
        <f t="shared" si="11"/>
        <v>4.2</v>
      </c>
      <c r="AR5" s="392">
        <f t="shared" si="11"/>
        <v>4.2</v>
      </c>
      <c r="AS5" s="392">
        <v>6.2</v>
      </c>
      <c r="AT5" s="392">
        <f>AS5</f>
        <v>6.2</v>
      </c>
      <c r="AU5" s="392">
        <f t="shared" ref="AU5" si="12">AT5</f>
        <v>6.2</v>
      </c>
      <c r="AV5" s="392">
        <f t="shared" ref="AV5" si="13">AU5</f>
        <v>6.2</v>
      </c>
      <c r="AW5" s="392">
        <f t="shared" ref="AW5" si="14">AV5</f>
        <v>6.2</v>
      </c>
      <c r="AX5" s="392">
        <v>4.5</v>
      </c>
      <c r="AY5" s="392">
        <v>5.6</v>
      </c>
      <c r="AZ5" s="392">
        <f>AY5</f>
        <v>5.6</v>
      </c>
      <c r="BA5" s="392">
        <f t="shared" ref="BA5:BB5" si="15">AZ5</f>
        <v>5.6</v>
      </c>
      <c r="BB5" s="392">
        <f t="shared" si="15"/>
        <v>5.6</v>
      </c>
      <c r="BC5" s="392">
        <v>5.7</v>
      </c>
      <c r="BD5" s="392">
        <f>BC5</f>
        <v>5.7</v>
      </c>
      <c r="BE5" s="392">
        <v>8</v>
      </c>
      <c r="BF5" s="175"/>
      <c r="BG5" s="175"/>
      <c r="BH5" s="175"/>
      <c r="BI5" s="175"/>
      <c r="BJ5" s="175"/>
      <c r="BK5" s="175"/>
      <c r="BL5" s="175"/>
      <c r="BM5" s="175"/>
    </row>
    <row r="6" spans="2:65">
      <c r="B6" s="181" t="s">
        <v>842</v>
      </c>
      <c r="C6" s="151" t="s">
        <v>243</v>
      </c>
      <c r="D6" s="396"/>
      <c r="E6" s="396">
        <v>22.8</v>
      </c>
      <c r="F6" s="179">
        <v>60</v>
      </c>
      <c r="G6" s="396">
        <v>85</v>
      </c>
      <c r="H6" s="179">
        <v>100</v>
      </c>
      <c r="I6" s="396">
        <v>67</v>
      </c>
      <c r="J6" s="179">
        <v>80</v>
      </c>
      <c r="K6" s="179">
        <v>90</v>
      </c>
      <c r="L6" s="396">
        <v>67</v>
      </c>
      <c r="M6" s="179">
        <v>70</v>
      </c>
      <c r="N6" s="179">
        <v>80</v>
      </c>
      <c r="O6" s="396">
        <v>87</v>
      </c>
      <c r="P6" s="396">
        <v>128.19999999999999</v>
      </c>
      <c r="Q6" s="396">
        <f>P6+2</f>
        <v>130.19999999999999</v>
      </c>
      <c r="R6" s="396">
        <v>94</v>
      </c>
      <c r="S6" s="396">
        <f>$R6</f>
        <v>94</v>
      </c>
      <c r="T6" s="396">
        <f t="shared" si="7"/>
        <v>94</v>
      </c>
      <c r="U6" s="396">
        <f t="shared" si="7"/>
        <v>94</v>
      </c>
      <c r="V6" s="396">
        <v>300</v>
      </c>
      <c r="W6" s="396">
        <f>V6+50</f>
        <v>350</v>
      </c>
      <c r="X6" s="396">
        <f t="shared" ref="X6" si="16">W6+50</f>
        <v>400</v>
      </c>
      <c r="Y6" s="396">
        <v>436</v>
      </c>
      <c r="Z6" s="396">
        <f>Y6+50</f>
        <v>486</v>
      </c>
      <c r="AA6" s="396">
        <f t="shared" ref="AA6" si="17">Z6+50</f>
        <v>536</v>
      </c>
      <c r="AB6" s="396">
        <f>AA6+10</f>
        <v>546</v>
      </c>
      <c r="AC6" s="396">
        <f t="shared" ref="AC6:AM6" si="18">AB6+10</f>
        <v>556</v>
      </c>
      <c r="AD6" s="396">
        <f t="shared" si="18"/>
        <v>566</v>
      </c>
      <c r="AE6" s="396">
        <f t="shared" si="18"/>
        <v>576</v>
      </c>
      <c r="AF6" s="396">
        <f t="shared" si="18"/>
        <v>586</v>
      </c>
      <c r="AG6" s="396">
        <f t="shared" si="18"/>
        <v>596</v>
      </c>
      <c r="AH6" s="396">
        <f t="shared" si="18"/>
        <v>606</v>
      </c>
      <c r="AI6" s="396">
        <f t="shared" si="18"/>
        <v>616</v>
      </c>
      <c r="AJ6" s="396">
        <f t="shared" si="18"/>
        <v>626</v>
      </c>
      <c r="AK6" s="396">
        <f t="shared" si="18"/>
        <v>636</v>
      </c>
      <c r="AL6" s="396">
        <f t="shared" si="18"/>
        <v>646</v>
      </c>
      <c r="AM6" s="396">
        <f t="shared" si="18"/>
        <v>656</v>
      </c>
      <c r="AN6" s="396">
        <v>682</v>
      </c>
      <c r="AO6" s="396">
        <f>AN6+10</f>
        <v>692</v>
      </c>
      <c r="AP6" s="396">
        <f t="shared" ref="AP6:BD6" si="19">AO6+10</f>
        <v>702</v>
      </c>
      <c r="AQ6" s="396">
        <f t="shared" si="19"/>
        <v>712</v>
      </c>
      <c r="AR6" s="396">
        <f t="shared" si="19"/>
        <v>722</v>
      </c>
      <c r="AS6" s="179">
        <v>730</v>
      </c>
      <c r="AT6" s="179">
        <v>740</v>
      </c>
      <c r="AU6" s="179">
        <v>750</v>
      </c>
      <c r="AV6" s="179">
        <v>760</v>
      </c>
      <c r="AW6" s="179">
        <v>770</v>
      </c>
      <c r="AX6" s="396">
        <f>AR6+10</f>
        <v>732</v>
      </c>
      <c r="AY6" s="396">
        <f t="shared" si="19"/>
        <v>742</v>
      </c>
      <c r="AZ6" s="396">
        <f t="shared" si="19"/>
        <v>752</v>
      </c>
      <c r="BA6" s="396">
        <f t="shared" si="19"/>
        <v>762</v>
      </c>
      <c r="BB6" s="396">
        <f t="shared" si="19"/>
        <v>772</v>
      </c>
      <c r="BC6" s="396">
        <f t="shared" si="19"/>
        <v>782</v>
      </c>
      <c r="BD6" s="396">
        <f t="shared" si="19"/>
        <v>792</v>
      </c>
      <c r="BE6" s="396">
        <v>1000</v>
      </c>
      <c r="BF6" s="192"/>
      <c r="BG6" s="192"/>
      <c r="BH6" s="192"/>
      <c r="BI6" s="192"/>
      <c r="BJ6" s="192"/>
      <c r="BK6" s="192"/>
      <c r="BL6" s="192"/>
      <c r="BM6" s="192"/>
    </row>
    <row r="7" spans="2:65" ht="13">
      <c r="B7" s="397" t="s">
        <v>843</v>
      </c>
    </row>
    <row r="8" spans="2:65">
      <c r="B8" s="181" t="s">
        <v>423</v>
      </c>
      <c r="C8" s="151" t="s">
        <v>834</v>
      </c>
      <c r="D8" s="183">
        <v>0.86099999999999999</v>
      </c>
      <c r="E8" s="184">
        <f>$D8</f>
        <v>0.86099999999999999</v>
      </c>
      <c r="F8" s="184">
        <f t="shared" ref="F8:O8" si="20">$D8</f>
        <v>0.86099999999999999</v>
      </c>
      <c r="G8" s="184">
        <f t="shared" si="20"/>
        <v>0.86099999999999999</v>
      </c>
      <c r="H8" s="184">
        <f t="shared" si="20"/>
        <v>0.86099999999999999</v>
      </c>
      <c r="I8" s="184">
        <f t="shared" si="20"/>
        <v>0.86099999999999999</v>
      </c>
      <c r="J8" s="184">
        <f t="shared" si="20"/>
        <v>0.86099999999999999</v>
      </c>
      <c r="K8" s="184">
        <f t="shared" si="20"/>
        <v>0.86099999999999999</v>
      </c>
      <c r="L8" s="184">
        <f t="shared" si="20"/>
        <v>0.86099999999999999</v>
      </c>
      <c r="M8" s="184">
        <f t="shared" si="20"/>
        <v>0.86099999999999999</v>
      </c>
      <c r="N8" s="184">
        <f t="shared" si="20"/>
        <v>0.86099999999999999</v>
      </c>
      <c r="O8" s="184">
        <f t="shared" si="20"/>
        <v>0.86099999999999999</v>
      </c>
      <c r="P8" s="183">
        <f>Y8</f>
        <v>0.86099999999999999</v>
      </c>
      <c r="Q8" s="183">
        <f>P8</f>
        <v>0.86099999999999999</v>
      </c>
      <c r="R8" s="184">
        <f t="shared" ref="R8:U11" si="21">$D8</f>
        <v>0.86099999999999999</v>
      </c>
      <c r="S8" s="184">
        <f t="shared" si="21"/>
        <v>0.86099999999999999</v>
      </c>
      <c r="T8" s="184">
        <f t="shared" si="21"/>
        <v>0.86099999999999999</v>
      </c>
      <c r="U8" s="184">
        <f t="shared" si="21"/>
        <v>0.86099999999999999</v>
      </c>
      <c r="V8" s="183">
        <f>Q8</f>
        <v>0.86099999999999999</v>
      </c>
      <c r="W8" s="183">
        <f t="shared" ref="W8:X8" si="22">V8</f>
        <v>0.86099999999999999</v>
      </c>
      <c r="X8" s="183">
        <f t="shared" si="22"/>
        <v>0.86099999999999999</v>
      </c>
      <c r="Y8" s="183">
        <v>0.86099999999999999</v>
      </c>
      <c r="Z8" s="183">
        <f>Y8</f>
        <v>0.86099999999999999</v>
      </c>
      <c r="AA8" s="183">
        <f>Z8</f>
        <v>0.86099999999999999</v>
      </c>
      <c r="AB8" s="183">
        <f>AA8</f>
        <v>0.86099999999999999</v>
      </c>
      <c r="AC8" s="183">
        <f t="shared" ref="AC8:AM8" si="23">AB8</f>
        <v>0.86099999999999999</v>
      </c>
      <c r="AD8" s="183">
        <f t="shared" si="23"/>
        <v>0.86099999999999999</v>
      </c>
      <c r="AE8" s="183">
        <f t="shared" si="23"/>
        <v>0.86099999999999999</v>
      </c>
      <c r="AF8" s="183">
        <f t="shared" si="23"/>
        <v>0.86099999999999999</v>
      </c>
      <c r="AG8" s="183">
        <f t="shared" si="23"/>
        <v>0.86099999999999999</v>
      </c>
      <c r="AH8" s="183">
        <f t="shared" si="23"/>
        <v>0.86099999999999999</v>
      </c>
      <c r="AI8" s="183">
        <f t="shared" si="23"/>
        <v>0.86099999999999999</v>
      </c>
      <c r="AJ8" s="183">
        <f t="shared" si="23"/>
        <v>0.86099999999999999</v>
      </c>
      <c r="AK8" s="183">
        <f t="shared" si="23"/>
        <v>0.86099999999999999</v>
      </c>
      <c r="AL8" s="183">
        <f t="shared" si="23"/>
        <v>0.86099999999999999</v>
      </c>
      <c r="AM8" s="183">
        <f t="shared" si="23"/>
        <v>0.86099999999999999</v>
      </c>
      <c r="AN8" s="183">
        <v>0.89</v>
      </c>
      <c r="AO8" s="183">
        <f>AN8</f>
        <v>0.89</v>
      </c>
      <c r="AP8" s="183">
        <f t="shared" ref="AP8:AR8" si="24">AO8</f>
        <v>0.89</v>
      </c>
      <c r="AQ8" s="183">
        <f t="shared" si="24"/>
        <v>0.89</v>
      </c>
      <c r="AR8" s="183">
        <f t="shared" si="24"/>
        <v>0.89</v>
      </c>
      <c r="AS8" s="183">
        <v>0.89</v>
      </c>
      <c r="AT8" s="183">
        <f>AS8</f>
        <v>0.89</v>
      </c>
      <c r="AU8" s="183">
        <f t="shared" ref="AU8:AU11" si="25">AT8</f>
        <v>0.89</v>
      </c>
      <c r="AV8" s="183">
        <f t="shared" ref="AV8:AV11" si="26">AU8</f>
        <v>0.89</v>
      </c>
      <c r="AW8" s="183">
        <f t="shared" ref="AW8:AW11" si="27">AV8</f>
        <v>0.89</v>
      </c>
      <c r="AX8" s="183">
        <f>AR8</f>
        <v>0.89</v>
      </c>
      <c r="AY8" s="183">
        <f t="shared" ref="AY8:BD8" si="28">AX8</f>
        <v>0.89</v>
      </c>
      <c r="AZ8" s="183">
        <f t="shared" si="28"/>
        <v>0.89</v>
      </c>
      <c r="BA8" s="183">
        <f t="shared" si="28"/>
        <v>0.89</v>
      </c>
      <c r="BB8" s="183">
        <f t="shared" si="28"/>
        <v>0.89</v>
      </c>
      <c r="BC8" s="183">
        <f t="shared" si="28"/>
        <v>0.89</v>
      </c>
      <c r="BD8" s="183">
        <f t="shared" si="28"/>
        <v>0.89</v>
      </c>
      <c r="BE8" s="183">
        <f>BD8</f>
        <v>0.89</v>
      </c>
      <c r="BF8" s="176"/>
      <c r="BG8" s="176"/>
      <c r="BH8" s="176"/>
      <c r="BI8" s="176"/>
      <c r="BJ8" s="176"/>
      <c r="BK8" s="176"/>
      <c r="BL8" s="176"/>
      <c r="BM8" s="176"/>
    </row>
    <row r="9" spans="2:65">
      <c r="B9" s="181" t="s">
        <v>424</v>
      </c>
      <c r="C9" s="151" t="s">
        <v>834</v>
      </c>
      <c r="D9" s="183">
        <v>7.0000000000000001E-3</v>
      </c>
      <c r="E9" s="184">
        <f t="shared" ref="E9:T15" si="29">$D9</f>
        <v>7.0000000000000001E-3</v>
      </c>
      <c r="F9" s="184">
        <f t="shared" si="29"/>
        <v>7.0000000000000001E-3</v>
      </c>
      <c r="G9" s="184">
        <f t="shared" si="29"/>
        <v>7.0000000000000001E-3</v>
      </c>
      <c r="H9" s="184">
        <f t="shared" si="29"/>
        <v>7.0000000000000001E-3</v>
      </c>
      <c r="I9" s="184">
        <f t="shared" si="29"/>
        <v>7.0000000000000001E-3</v>
      </c>
      <c r="J9" s="184">
        <f t="shared" si="29"/>
        <v>7.0000000000000001E-3</v>
      </c>
      <c r="K9" s="184">
        <f t="shared" si="29"/>
        <v>7.0000000000000001E-3</v>
      </c>
      <c r="L9" s="184">
        <f t="shared" si="29"/>
        <v>7.0000000000000001E-3</v>
      </c>
      <c r="M9" s="184">
        <f t="shared" si="29"/>
        <v>7.0000000000000001E-3</v>
      </c>
      <c r="N9" s="184">
        <f t="shared" si="29"/>
        <v>7.0000000000000001E-3</v>
      </c>
      <c r="O9" s="184">
        <f t="shared" si="29"/>
        <v>7.0000000000000001E-3</v>
      </c>
      <c r="P9" s="183">
        <f t="shared" ref="P9:P11" si="30">Y9</f>
        <v>7.0000000000000001E-3</v>
      </c>
      <c r="Q9" s="183">
        <f t="shared" ref="Q9:X9" si="31">P9</f>
        <v>7.0000000000000001E-3</v>
      </c>
      <c r="R9" s="184">
        <f t="shared" si="21"/>
        <v>7.0000000000000001E-3</v>
      </c>
      <c r="S9" s="184">
        <f t="shared" si="21"/>
        <v>7.0000000000000001E-3</v>
      </c>
      <c r="T9" s="184">
        <f t="shared" si="21"/>
        <v>7.0000000000000001E-3</v>
      </c>
      <c r="U9" s="184">
        <f t="shared" si="21"/>
        <v>7.0000000000000001E-3</v>
      </c>
      <c r="V9" s="183">
        <f>Q9</f>
        <v>7.0000000000000001E-3</v>
      </c>
      <c r="W9" s="183">
        <f t="shared" si="31"/>
        <v>7.0000000000000001E-3</v>
      </c>
      <c r="X9" s="183">
        <f t="shared" si="31"/>
        <v>7.0000000000000001E-3</v>
      </c>
      <c r="Y9" s="183">
        <v>7.0000000000000001E-3</v>
      </c>
      <c r="Z9" s="183">
        <f t="shared" ref="Z9:AA11" si="32">Y9</f>
        <v>7.0000000000000001E-3</v>
      </c>
      <c r="AA9" s="183">
        <f t="shared" si="32"/>
        <v>7.0000000000000001E-3</v>
      </c>
      <c r="AB9" s="183">
        <f t="shared" ref="AB9:AM11" si="33">AA9</f>
        <v>7.0000000000000001E-3</v>
      </c>
      <c r="AC9" s="183">
        <f t="shared" si="33"/>
        <v>7.0000000000000001E-3</v>
      </c>
      <c r="AD9" s="183">
        <f t="shared" si="33"/>
        <v>7.0000000000000001E-3</v>
      </c>
      <c r="AE9" s="183">
        <f t="shared" si="33"/>
        <v>7.0000000000000001E-3</v>
      </c>
      <c r="AF9" s="183">
        <f t="shared" si="33"/>
        <v>7.0000000000000001E-3</v>
      </c>
      <c r="AG9" s="183">
        <f t="shared" si="33"/>
        <v>7.0000000000000001E-3</v>
      </c>
      <c r="AH9" s="183">
        <f t="shared" si="33"/>
        <v>7.0000000000000001E-3</v>
      </c>
      <c r="AI9" s="183">
        <f t="shared" si="33"/>
        <v>7.0000000000000001E-3</v>
      </c>
      <c r="AJ9" s="183">
        <f t="shared" si="33"/>
        <v>7.0000000000000001E-3</v>
      </c>
      <c r="AK9" s="183">
        <f t="shared" si="33"/>
        <v>7.0000000000000001E-3</v>
      </c>
      <c r="AL9" s="183">
        <f t="shared" si="33"/>
        <v>7.0000000000000001E-3</v>
      </c>
      <c r="AM9" s="183">
        <f t="shared" si="33"/>
        <v>7.0000000000000001E-3</v>
      </c>
      <c r="AN9" s="183">
        <v>5.0000000000000001E-3</v>
      </c>
      <c r="AO9" s="183">
        <f t="shared" ref="AO9:AR11" si="34">AN9</f>
        <v>5.0000000000000001E-3</v>
      </c>
      <c r="AP9" s="183">
        <f t="shared" si="34"/>
        <v>5.0000000000000001E-3</v>
      </c>
      <c r="AQ9" s="183">
        <f t="shared" si="34"/>
        <v>5.0000000000000001E-3</v>
      </c>
      <c r="AR9" s="183">
        <f t="shared" si="34"/>
        <v>5.0000000000000001E-3</v>
      </c>
      <c r="AS9" s="183">
        <v>5.0000000000000001E-3</v>
      </c>
      <c r="AT9" s="183">
        <f t="shared" ref="AT9:AT11" si="35">AS9</f>
        <v>5.0000000000000001E-3</v>
      </c>
      <c r="AU9" s="183">
        <f t="shared" si="25"/>
        <v>5.0000000000000001E-3</v>
      </c>
      <c r="AV9" s="183">
        <f t="shared" si="26"/>
        <v>5.0000000000000001E-3</v>
      </c>
      <c r="AW9" s="183">
        <f t="shared" si="27"/>
        <v>5.0000000000000001E-3</v>
      </c>
      <c r="AX9" s="183">
        <f>AR9</f>
        <v>5.0000000000000001E-3</v>
      </c>
      <c r="AY9" s="183">
        <f t="shared" ref="AY9:BD11" si="36">AX9</f>
        <v>5.0000000000000001E-3</v>
      </c>
      <c r="AZ9" s="183">
        <f t="shared" si="36"/>
        <v>5.0000000000000001E-3</v>
      </c>
      <c r="BA9" s="183">
        <f t="shared" si="36"/>
        <v>5.0000000000000001E-3</v>
      </c>
      <c r="BB9" s="183">
        <f t="shared" si="36"/>
        <v>5.0000000000000001E-3</v>
      </c>
      <c r="BC9" s="183">
        <f t="shared" si="36"/>
        <v>5.0000000000000001E-3</v>
      </c>
      <c r="BD9" s="183">
        <f t="shared" si="36"/>
        <v>5.0000000000000001E-3</v>
      </c>
      <c r="BE9" s="183">
        <f t="shared" ref="BE9:BE11" si="37">BD9</f>
        <v>5.0000000000000001E-3</v>
      </c>
      <c r="BF9" s="176"/>
      <c r="BG9" s="176"/>
      <c r="BH9" s="176"/>
      <c r="BI9" s="176"/>
      <c r="BJ9" s="176"/>
      <c r="BK9" s="176"/>
      <c r="BL9" s="176"/>
      <c r="BM9" s="176"/>
    </row>
    <row r="10" spans="2:65">
      <c r="B10" s="181" t="s">
        <v>425</v>
      </c>
      <c r="C10" s="151" t="s">
        <v>834</v>
      </c>
      <c r="D10" s="183">
        <v>1.2999999999999999E-2</v>
      </c>
      <c r="E10" s="184">
        <f t="shared" si="29"/>
        <v>1.2999999999999999E-2</v>
      </c>
      <c r="F10" s="184">
        <f t="shared" si="29"/>
        <v>1.2999999999999999E-2</v>
      </c>
      <c r="G10" s="184">
        <f t="shared" si="29"/>
        <v>1.2999999999999999E-2</v>
      </c>
      <c r="H10" s="184">
        <f t="shared" si="29"/>
        <v>1.2999999999999999E-2</v>
      </c>
      <c r="I10" s="184">
        <f t="shared" si="29"/>
        <v>1.2999999999999999E-2</v>
      </c>
      <c r="J10" s="184">
        <f t="shared" si="29"/>
        <v>1.2999999999999999E-2</v>
      </c>
      <c r="K10" s="184">
        <f t="shared" si="29"/>
        <v>1.2999999999999999E-2</v>
      </c>
      <c r="L10" s="184">
        <f t="shared" si="29"/>
        <v>1.2999999999999999E-2</v>
      </c>
      <c r="M10" s="184">
        <f t="shared" si="29"/>
        <v>1.2999999999999999E-2</v>
      </c>
      <c r="N10" s="184">
        <f t="shared" si="29"/>
        <v>1.2999999999999999E-2</v>
      </c>
      <c r="O10" s="184">
        <f t="shared" si="29"/>
        <v>1.2999999999999999E-2</v>
      </c>
      <c r="P10" s="183">
        <f t="shared" si="30"/>
        <v>1.2999999999999999E-2</v>
      </c>
      <c r="Q10" s="183">
        <f t="shared" ref="Q10:X10" si="38">P10</f>
        <v>1.2999999999999999E-2</v>
      </c>
      <c r="R10" s="184">
        <f t="shared" si="21"/>
        <v>1.2999999999999999E-2</v>
      </c>
      <c r="S10" s="184">
        <f t="shared" si="21"/>
        <v>1.2999999999999999E-2</v>
      </c>
      <c r="T10" s="184">
        <f t="shared" si="21"/>
        <v>1.2999999999999999E-2</v>
      </c>
      <c r="U10" s="184">
        <f t="shared" si="21"/>
        <v>1.2999999999999999E-2</v>
      </c>
      <c r="V10" s="183">
        <f>Q10</f>
        <v>1.2999999999999999E-2</v>
      </c>
      <c r="W10" s="183">
        <f t="shared" si="38"/>
        <v>1.2999999999999999E-2</v>
      </c>
      <c r="X10" s="183">
        <f t="shared" si="38"/>
        <v>1.2999999999999999E-2</v>
      </c>
      <c r="Y10" s="183">
        <v>1.2999999999999999E-2</v>
      </c>
      <c r="Z10" s="183">
        <f t="shared" si="32"/>
        <v>1.2999999999999999E-2</v>
      </c>
      <c r="AA10" s="183">
        <f t="shared" si="32"/>
        <v>1.2999999999999999E-2</v>
      </c>
      <c r="AB10" s="183">
        <f t="shared" si="33"/>
        <v>1.2999999999999999E-2</v>
      </c>
      <c r="AC10" s="183">
        <f t="shared" si="33"/>
        <v>1.2999999999999999E-2</v>
      </c>
      <c r="AD10" s="183">
        <f t="shared" si="33"/>
        <v>1.2999999999999999E-2</v>
      </c>
      <c r="AE10" s="183">
        <f t="shared" si="33"/>
        <v>1.2999999999999999E-2</v>
      </c>
      <c r="AF10" s="183">
        <f t="shared" si="33"/>
        <v>1.2999999999999999E-2</v>
      </c>
      <c r="AG10" s="183">
        <f t="shared" si="33"/>
        <v>1.2999999999999999E-2</v>
      </c>
      <c r="AH10" s="183">
        <f t="shared" si="33"/>
        <v>1.2999999999999999E-2</v>
      </c>
      <c r="AI10" s="183">
        <f t="shared" si="33"/>
        <v>1.2999999999999999E-2</v>
      </c>
      <c r="AJ10" s="183">
        <f t="shared" si="33"/>
        <v>1.2999999999999999E-2</v>
      </c>
      <c r="AK10" s="183">
        <f t="shared" si="33"/>
        <v>1.2999999999999999E-2</v>
      </c>
      <c r="AL10" s="183">
        <f t="shared" si="33"/>
        <v>1.2999999999999999E-2</v>
      </c>
      <c r="AM10" s="183">
        <f t="shared" si="33"/>
        <v>1.2999999999999999E-2</v>
      </c>
      <c r="AN10" s="183">
        <v>1.0999999999999999E-2</v>
      </c>
      <c r="AO10" s="183">
        <f t="shared" si="34"/>
        <v>1.0999999999999999E-2</v>
      </c>
      <c r="AP10" s="183">
        <f t="shared" si="34"/>
        <v>1.0999999999999999E-2</v>
      </c>
      <c r="AQ10" s="183">
        <f t="shared" si="34"/>
        <v>1.0999999999999999E-2</v>
      </c>
      <c r="AR10" s="183">
        <f t="shared" si="34"/>
        <v>1.0999999999999999E-2</v>
      </c>
      <c r="AS10" s="183">
        <v>1.0999999999999999E-2</v>
      </c>
      <c r="AT10" s="183">
        <f t="shared" si="35"/>
        <v>1.0999999999999999E-2</v>
      </c>
      <c r="AU10" s="183">
        <f t="shared" si="25"/>
        <v>1.0999999999999999E-2</v>
      </c>
      <c r="AV10" s="183">
        <f t="shared" si="26"/>
        <v>1.0999999999999999E-2</v>
      </c>
      <c r="AW10" s="183">
        <f t="shared" si="27"/>
        <v>1.0999999999999999E-2</v>
      </c>
      <c r="AX10" s="183">
        <f>AR10</f>
        <v>1.0999999999999999E-2</v>
      </c>
      <c r="AY10" s="183">
        <f t="shared" si="36"/>
        <v>1.0999999999999999E-2</v>
      </c>
      <c r="AZ10" s="183">
        <f t="shared" si="36"/>
        <v>1.0999999999999999E-2</v>
      </c>
      <c r="BA10" s="183">
        <f t="shared" si="36"/>
        <v>1.0999999999999999E-2</v>
      </c>
      <c r="BB10" s="183">
        <f t="shared" si="36"/>
        <v>1.0999999999999999E-2</v>
      </c>
      <c r="BC10" s="183">
        <f t="shared" si="36"/>
        <v>1.0999999999999999E-2</v>
      </c>
      <c r="BD10" s="183">
        <f t="shared" si="36"/>
        <v>1.0999999999999999E-2</v>
      </c>
      <c r="BE10" s="183">
        <f t="shared" si="37"/>
        <v>1.0999999999999999E-2</v>
      </c>
      <c r="BF10" s="176"/>
      <c r="BG10" s="176"/>
      <c r="BH10" s="176"/>
      <c r="BI10" s="176"/>
      <c r="BJ10" s="176"/>
      <c r="BK10" s="176"/>
      <c r="BL10" s="176"/>
      <c r="BM10" s="176"/>
    </row>
    <row r="11" spans="2:65">
      <c r="B11" s="181" t="s">
        <v>426</v>
      </c>
      <c r="C11" s="151" t="s">
        <v>834</v>
      </c>
      <c r="D11" s="183">
        <v>7.2999999999999995E-2</v>
      </c>
      <c r="E11" s="184">
        <f t="shared" si="29"/>
        <v>7.2999999999999995E-2</v>
      </c>
      <c r="F11" s="184">
        <f t="shared" si="29"/>
        <v>7.2999999999999995E-2</v>
      </c>
      <c r="G11" s="184">
        <f t="shared" si="29"/>
        <v>7.2999999999999995E-2</v>
      </c>
      <c r="H11" s="184">
        <f t="shared" si="29"/>
        <v>7.2999999999999995E-2</v>
      </c>
      <c r="I11" s="184">
        <f t="shared" si="29"/>
        <v>7.2999999999999995E-2</v>
      </c>
      <c r="J11" s="184">
        <f t="shared" si="29"/>
        <v>7.2999999999999995E-2</v>
      </c>
      <c r="K11" s="184">
        <f t="shared" si="29"/>
        <v>7.2999999999999995E-2</v>
      </c>
      <c r="L11" s="184">
        <f t="shared" si="29"/>
        <v>7.2999999999999995E-2</v>
      </c>
      <c r="M11" s="184">
        <f t="shared" si="29"/>
        <v>7.2999999999999995E-2</v>
      </c>
      <c r="N11" s="184">
        <f t="shared" si="29"/>
        <v>7.2999999999999995E-2</v>
      </c>
      <c r="O11" s="184">
        <f t="shared" si="29"/>
        <v>7.2999999999999995E-2</v>
      </c>
      <c r="P11" s="183">
        <f t="shared" si="30"/>
        <v>7.2999999999999995E-2</v>
      </c>
      <c r="Q11" s="183">
        <f t="shared" ref="Q11:X11" si="39">P11</f>
        <v>7.2999999999999995E-2</v>
      </c>
      <c r="R11" s="184">
        <f t="shared" si="21"/>
        <v>7.2999999999999995E-2</v>
      </c>
      <c r="S11" s="184">
        <f t="shared" si="21"/>
        <v>7.2999999999999995E-2</v>
      </c>
      <c r="T11" s="184">
        <f t="shared" si="21"/>
        <v>7.2999999999999995E-2</v>
      </c>
      <c r="U11" s="184">
        <f t="shared" si="21"/>
        <v>7.2999999999999995E-2</v>
      </c>
      <c r="V11" s="183">
        <f>Q11</f>
        <v>7.2999999999999995E-2</v>
      </c>
      <c r="W11" s="183">
        <f t="shared" si="39"/>
        <v>7.2999999999999995E-2</v>
      </c>
      <c r="X11" s="183">
        <f t="shared" si="39"/>
        <v>7.2999999999999995E-2</v>
      </c>
      <c r="Y11" s="183">
        <v>7.2999999999999995E-2</v>
      </c>
      <c r="Z11" s="183">
        <f t="shared" si="32"/>
        <v>7.2999999999999995E-2</v>
      </c>
      <c r="AA11" s="183">
        <f t="shared" si="32"/>
        <v>7.2999999999999995E-2</v>
      </c>
      <c r="AB11" s="183">
        <f t="shared" si="33"/>
        <v>7.2999999999999995E-2</v>
      </c>
      <c r="AC11" s="183">
        <f t="shared" si="33"/>
        <v>7.2999999999999995E-2</v>
      </c>
      <c r="AD11" s="183">
        <f t="shared" si="33"/>
        <v>7.2999999999999995E-2</v>
      </c>
      <c r="AE11" s="183">
        <f t="shared" si="33"/>
        <v>7.2999999999999995E-2</v>
      </c>
      <c r="AF11" s="183">
        <f t="shared" si="33"/>
        <v>7.2999999999999995E-2</v>
      </c>
      <c r="AG11" s="183">
        <f t="shared" si="33"/>
        <v>7.2999999999999995E-2</v>
      </c>
      <c r="AH11" s="183">
        <f t="shared" si="33"/>
        <v>7.2999999999999995E-2</v>
      </c>
      <c r="AI11" s="183">
        <f t="shared" si="33"/>
        <v>7.2999999999999995E-2</v>
      </c>
      <c r="AJ11" s="183">
        <f t="shared" si="33"/>
        <v>7.2999999999999995E-2</v>
      </c>
      <c r="AK11" s="183">
        <f t="shared" si="33"/>
        <v>7.2999999999999995E-2</v>
      </c>
      <c r="AL11" s="183">
        <f t="shared" si="33"/>
        <v>7.2999999999999995E-2</v>
      </c>
      <c r="AM11" s="183">
        <f t="shared" si="33"/>
        <v>7.2999999999999995E-2</v>
      </c>
      <c r="AN11" s="183">
        <v>6.0000000000000001E-3</v>
      </c>
      <c r="AO11" s="183">
        <f t="shared" si="34"/>
        <v>6.0000000000000001E-3</v>
      </c>
      <c r="AP11" s="183">
        <f t="shared" si="34"/>
        <v>6.0000000000000001E-3</v>
      </c>
      <c r="AQ11" s="183">
        <f t="shared" si="34"/>
        <v>6.0000000000000001E-3</v>
      </c>
      <c r="AR11" s="183">
        <f t="shared" si="34"/>
        <v>6.0000000000000001E-3</v>
      </c>
      <c r="AS11" s="183">
        <v>6.0000000000000001E-3</v>
      </c>
      <c r="AT11" s="183">
        <f t="shared" si="35"/>
        <v>6.0000000000000001E-3</v>
      </c>
      <c r="AU11" s="183">
        <f t="shared" si="25"/>
        <v>6.0000000000000001E-3</v>
      </c>
      <c r="AV11" s="183">
        <f t="shared" si="26"/>
        <v>6.0000000000000001E-3</v>
      </c>
      <c r="AW11" s="183">
        <f t="shared" si="27"/>
        <v>6.0000000000000001E-3</v>
      </c>
      <c r="AX11" s="183">
        <f>AR11</f>
        <v>6.0000000000000001E-3</v>
      </c>
      <c r="AY11" s="183">
        <f t="shared" si="36"/>
        <v>6.0000000000000001E-3</v>
      </c>
      <c r="AZ11" s="183">
        <f t="shared" si="36"/>
        <v>6.0000000000000001E-3</v>
      </c>
      <c r="BA11" s="183">
        <f t="shared" si="36"/>
        <v>6.0000000000000001E-3</v>
      </c>
      <c r="BB11" s="183">
        <f t="shared" si="36"/>
        <v>6.0000000000000001E-3</v>
      </c>
      <c r="BC11" s="183">
        <f t="shared" si="36"/>
        <v>6.0000000000000001E-3</v>
      </c>
      <c r="BD11" s="183">
        <f t="shared" si="36"/>
        <v>6.0000000000000001E-3</v>
      </c>
      <c r="BE11" s="183">
        <f t="shared" si="37"/>
        <v>6.0000000000000001E-3</v>
      </c>
      <c r="BF11" s="176"/>
      <c r="BG11" s="176"/>
      <c r="BH11" s="176"/>
      <c r="BI11" s="176"/>
      <c r="BJ11" s="176"/>
      <c r="BK11" s="176"/>
      <c r="BL11" s="176"/>
      <c r="BM11" s="176"/>
    </row>
    <row r="12" spans="2:65" ht="13">
      <c r="B12" s="397" t="s">
        <v>844</v>
      </c>
      <c r="BF12" s="185"/>
      <c r="BG12" s="185"/>
      <c r="BH12" s="185"/>
      <c r="BI12" s="185"/>
      <c r="BJ12" s="185"/>
      <c r="BK12" s="185"/>
      <c r="BL12" s="185"/>
      <c r="BM12" s="185"/>
    </row>
    <row r="13" spans="2:65">
      <c r="B13" s="181" t="s">
        <v>427</v>
      </c>
      <c r="C13" s="151" t="s">
        <v>834</v>
      </c>
      <c r="D13" s="183">
        <v>8.0000000000000002E-3</v>
      </c>
      <c r="E13" s="184">
        <f t="shared" si="29"/>
        <v>8.0000000000000002E-3</v>
      </c>
      <c r="F13" s="184">
        <f t="shared" si="29"/>
        <v>8.0000000000000002E-3</v>
      </c>
      <c r="G13" s="184">
        <f t="shared" si="29"/>
        <v>8.0000000000000002E-3</v>
      </c>
      <c r="H13" s="184">
        <f t="shared" si="29"/>
        <v>8.0000000000000002E-3</v>
      </c>
      <c r="I13" s="184">
        <f t="shared" si="29"/>
        <v>8.0000000000000002E-3</v>
      </c>
      <c r="J13" s="184">
        <f t="shared" si="29"/>
        <v>8.0000000000000002E-3</v>
      </c>
      <c r="K13" s="184">
        <f t="shared" si="29"/>
        <v>8.0000000000000002E-3</v>
      </c>
      <c r="L13" s="184">
        <f t="shared" si="29"/>
        <v>8.0000000000000002E-3</v>
      </c>
      <c r="M13" s="184">
        <f t="shared" si="29"/>
        <v>8.0000000000000002E-3</v>
      </c>
      <c r="N13" s="184">
        <f t="shared" si="29"/>
        <v>8.0000000000000002E-3</v>
      </c>
      <c r="O13" s="184">
        <f t="shared" si="29"/>
        <v>8.0000000000000002E-3</v>
      </c>
      <c r="P13" s="184">
        <f t="shared" si="29"/>
        <v>8.0000000000000002E-3</v>
      </c>
      <c r="Q13" s="184">
        <f t="shared" si="29"/>
        <v>8.0000000000000002E-3</v>
      </c>
      <c r="R13" s="184">
        <f t="shared" si="29"/>
        <v>8.0000000000000002E-3</v>
      </c>
      <c r="S13" s="184">
        <f t="shared" si="29"/>
        <v>8.0000000000000002E-3</v>
      </c>
      <c r="T13" s="184">
        <f t="shared" si="29"/>
        <v>8.0000000000000002E-3</v>
      </c>
      <c r="U13" s="184">
        <f t="shared" ref="F13:X15" si="40">$D13</f>
        <v>8.0000000000000002E-3</v>
      </c>
      <c r="V13" s="184">
        <f t="shared" si="40"/>
        <v>8.0000000000000002E-3</v>
      </c>
      <c r="W13" s="184">
        <f t="shared" si="40"/>
        <v>8.0000000000000002E-3</v>
      </c>
      <c r="X13" s="184">
        <f t="shared" si="40"/>
        <v>8.0000000000000002E-3</v>
      </c>
      <c r="Y13" s="183">
        <v>8.0000000000000002E-3</v>
      </c>
      <c r="Z13" s="183">
        <f>Y13</f>
        <v>8.0000000000000002E-3</v>
      </c>
      <c r="AA13" s="183">
        <f>Z13</f>
        <v>8.0000000000000002E-3</v>
      </c>
      <c r="AB13" s="184">
        <f t="shared" ref="AB13:AM15" si="41">$D13</f>
        <v>8.0000000000000002E-3</v>
      </c>
      <c r="AC13" s="184">
        <f t="shared" si="41"/>
        <v>8.0000000000000002E-3</v>
      </c>
      <c r="AD13" s="184">
        <f t="shared" si="41"/>
        <v>8.0000000000000002E-3</v>
      </c>
      <c r="AE13" s="184">
        <f t="shared" si="41"/>
        <v>8.0000000000000002E-3</v>
      </c>
      <c r="AF13" s="184">
        <f t="shared" si="41"/>
        <v>8.0000000000000002E-3</v>
      </c>
      <c r="AG13" s="184">
        <f t="shared" si="41"/>
        <v>8.0000000000000002E-3</v>
      </c>
      <c r="AH13" s="184">
        <f t="shared" si="41"/>
        <v>8.0000000000000002E-3</v>
      </c>
      <c r="AI13" s="184">
        <f t="shared" si="41"/>
        <v>8.0000000000000002E-3</v>
      </c>
      <c r="AJ13" s="184">
        <f t="shared" si="41"/>
        <v>8.0000000000000002E-3</v>
      </c>
      <c r="AK13" s="184">
        <f t="shared" si="41"/>
        <v>8.0000000000000002E-3</v>
      </c>
      <c r="AL13" s="184">
        <f t="shared" si="41"/>
        <v>8.0000000000000002E-3</v>
      </c>
      <c r="AM13" s="184">
        <f t="shared" si="41"/>
        <v>8.0000000000000002E-3</v>
      </c>
      <c r="AN13" s="183">
        <v>2E-3</v>
      </c>
      <c r="AO13" s="183">
        <f>AN13</f>
        <v>2E-3</v>
      </c>
      <c r="AP13" s="183">
        <f t="shared" ref="AP13:AR13" si="42">AO13</f>
        <v>2E-3</v>
      </c>
      <c r="AQ13" s="183">
        <f t="shared" si="42"/>
        <v>2E-3</v>
      </c>
      <c r="AR13" s="183">
        <f t="shared" si="42"/>
        <v>2E-3</v>
      </c>
      <c r="AS13" s="184">
        <f t="shared" ref="AS13:BE15" si="43">$D13</f>
        <v>8.0000000000000002E-3</v>
      </c>
      <c r="AT13" s="184">
        <f t="shared" si="43"/>
        <v>8.0000000000000002E-3</v>
      </c>
      <c r="AU13" s="184">
        <f t="shared" si="43"/>
        <v>8.0000000000000002E-3</v>
      </c>
      <c r="AV13" s="184">
        <f t="shared" si="43"/>
        <v>8.0000000000000002E-3</v>
      </c>
      <c r="AW13" s="184">
        <f t="shared" si="43"/>
        <v>8.0000000000000002E-3</v>
      </c>
      <c r="AX13" s="184">
        <f t="shared" si="43"/>
        <v>8.0000000000000002E-3</v>
      </c>
      <c r="AY13" s="184">
        <f t="shared" si="43"/>
        <v>8.0000000000000002E-3</v>
      </c>
      <c r="AZ13" s="184">
        <f t="shared" si="43"/>
        <v>8.0000000000000002E-3</v>
      </c>
      <c r="BA13" s="184">
        <f t="shared" si="43"/>
        <v>8.0000000000000002E-3</v>
      </c>
      <c r="BB13" s="184">
        <f t="shared" si="43"/>
        <v>8.0000000000000002E-3</v>
      </c>
      <c r="BC13" s="184">
        <f t="shared" si="43"/>
        <v>8.0000000000000002E-3</v>
      </c>
      <c r="BD13" s="184">
        <f t="shared" si="43"/>
        <v>8.0000000000000002E-3</v>
      </c>
      <c r="BE13" s="184">
        <f t="shared" si="43"/>
        <v>8.0000000000000002E-3</v>
      </c>
      <c r="BF13" s="176"/>
      <c r="BG13" s="176"/>
      <c r="BH13" s="176"/>
      <c r="BI13" s="176"/>
      <c r="BJ13" s="176"/>
      <c r="BK13" s="176"/>
      <c r="BL13" s="176"/>
      <c r="BM13" s="176"/>
    </row>
    <row r="14" spans="2:65">
      <c r="B14" s="181" t="s">
        <v>428</v>
      </c>
      <c r="C14" s="151" t="s">
        <v>834</v>
      </c>
      <c r="D14" s="183">
        <v>3.5000000000000003E-2</v>
      </c>
      <c r="E14" s="184">
        <f t="shared" si="29"/>
        <v>3.5000000000000003E-2</v>
      </c>
      <c r="F14" s="184">
        <f t="shared" si="40"/>
        <v>3.5000000000000003E-2</v>
      </c>
      <c r="G14" s="184">
        <f t="shared" si="40"/>
        <v>3.5000000000000003E-2</v>
      </c>
      <c r="H14" s="184">
        <f t="shared" si="40"/>
        <v>3.5000000000000003E-2</v>
      </c>
      <c r="I14" s="184">
        <f t="shared" si="40"/>
        <v>3.5000000000000003E-2</v>
      </c>
      <c r="J14" s="184">
        <f t="shared" si="40"/>
        <v>3.5000000000000003E-2</v>
      </c>
      <c r="K14" s="184">
        <f t="shared" si="40"/>
        <v>3.5000000000000003E-2</v>
      </c>
      <c r="L14" s="184">
        <f t="shared" si="40"/>
        <v>3.5000000000000003E-2</v>
      </c>
      <c r="M14" s="184">
        <f t="shared" si="40"/>
        <v>3.5000000000000003E-2</v>
      </c>
      <c r="N14" s="184">
        <f t="shared" si="40"/>
        <v>3.5000000000000003E-2</v>
      </c>
      <c r="O14" s="184">
        <f t="shared" si="40"/>
        <v>3.5000000000000003E-2</v>
      </c>
      <c r="P14" s="184">
        <f t="shared" si="40"/>
        <v>3.5000000000000003E-2</v>
      </c>
      <c r="Q14" s="184">
        <f t="shared" si="40"/>
        <v>3.5000000000000003E-2</v>
      </c>
      <c r="R14" s="184">
        <f t="shared" si="40"/>
        <v>3.5000000000000003E-2</v>
      </c>
      <c r="S14" s="184">
        <f t="shared" si="40"/>
        <v>3.5000000000000003E-2</v>
      </c>
      <c r="T14" s="184">
        <f t="shared" si="40"/>
        <v>3.5000000000000003E-2</v>
      </c>
      <c r="U14" s="184">
        <f t="shared" si="40"/>
        <v>3.5000000000000003E-2</v>
      </c>
      <c r="V14" s="184">
        <f t="shared" si="40"/>
        <v>3.5000000000000003E-2</v>
      </c>
      <c r="W14" s="184">
        <f t="shared" si="40"/>
        <v>3.5000000000000003E-2</v>
      </c>
      <c r="X14" s="184">
        <f t="shared" si="40"/>
        <v>3.5000000000000003E-2</v>
      </c>
      <c r="Y14" s="183">
        <v>3.5000000000000003E-2</v>
      </c>
      <c r="Z14" s="183">
        <f t="shared" ref="Z14:AA14" si="44">Y14</f>
        <v>3.5000000000000003E-2</v>
      </c>
      <c r="AA14" s="183">
        <f t="shared" si="44"/>
        <v>3.5000000000000003E-2</v>
      </c>
      <c r="AB14" s="184">
        <f t="shared" si="41"/>
        <v>3.5000000000000003E-2</v>
      </c>
      <c r="AC14" s="184">
        <f t="shared" si="41"/>
        <v>3.5000000000000003E-2</v>
      </c>
      <c r="AD14" s="184">
        <f t="shared" si="41"/>
        <v>3.5000000000000003E-2</v>
      </c>
      <c r="AE14" s="184">
        <f t="shared" si="41"/>
        <v>3.5000000000000003E-2</v>
      </c>
      <c r="AF14" s="184">
        <f t="shared" si="41"/>
        <v>3.5000000000000003E-2</v>
      </c>
      <c r="AG14" s="184">
        <f t="shared" si="41"/>
        <v>3.5000000000000003E-2</v>
      </c>
      <c r="AH14" s="184">
        <f t="shared" si="41"/>
        <v>3.5000000000000003E-2</v>
      </c>
      <c r="AI14" s="184">
        <f t="shared" si="41"/>
        <v>3.5000000000000003E-2</v>
      </c>
      <c r="AJ14" s="184">
        <f t="shared" si="41"/>
        <v>3.5000000000000003E-2</v>
      </c>
      <c r="AK14" s="184">
        <f t="shared" si="41"/>
        <v>3.5000000000000003E-2</v>
      </c>
      <c r="AL14" s="184">
        <f t="shared" si="41"/>
        <v>3.5000000000000003E-2</v>
      </c>
      <c r="AM14" s="184">
        <f t="shared" si="41"/>
        <v>3.5000000000000003E-2</v>
      </c>
      <c r="AN14" s="183">
        <v>5.7000000000000002E-2</v>
      </c>
      <c r="AO14" s="183">
        <f t="shared" ref="AO14:AR14" si="45">AN14</f>
        <v>5.7000000000000002E-2</v>
      </c>
      <c r="AP14" s="183">
        <f t="shared" si="45"/>
        <v>5.7000000000000002E-2</v>
      </c>
      <c r="AQ14" s="183">
        <f t="shared" si="45"/>
        <v>5.7000000000000002E-2</v>
      </c>
      <c r="AR14" s="183">
        <f t="shared" si="45"/>
        <v>5.7000000000000002E-2</v>
      </c>
      <c r="AS14" s="184">
        <f t="shared" si="43"/>
        <v>3.5000000000000003E-2</v>
      </c>
      <c r="AT14" s="184">
        <f t="shared" si="43"/>
        <v>3.5000000000000003E-2</v>
      </c>
      <c r="AU14" s="184">
        <f t="shared" si="43"/>
        <v>3.5000000000000003E-2</v>
      </c>
      <c r="AV14" s="184">
        <f t="shared" si="43"/>
        <v>3.5000000000000003E-2</v>
      </c>
      <c r="AW14" s="184">
        <f t="shared" si="43"/>
        <v>3.5000000000000003E-2</v>
      </c>
      <c r="AX14" s="184">
        <f t="shared" si="43"/>
        <v>3.5000000000000003E-2</v>
      </c>
      <c r="AY14" s="184">
        <f t="shared" si="43"/>
        <v>3.5000000000000003E-2</v>
      </c>
      <c r="AZ14" s="184">
        <f t="shared" si="43"/>
        <v>3.5000000000000003E-2</v>
      </c>
      <c r="BA14" s="184">
        <f t="shared" si="43"/>
        <v>3.5000000000000003E-2</v>
      </c>
      <c r="BB14" s="184">
        <f t="shared" si="43"/>
        <v>3.5000000000000003E-2</v>
      </c>
      <c r="BC14" s="184">
        <f t="shared" si="43"/>
        <v>3.5000000000000003E-2</v>
      </c>
      <c r="BD14" s="184">
        <f t="shared" si="43"/>
        <v>3.5000000000000003E-2</v>
      </c>
      <c r="BE14" s="184">
        <f t="shared" si="43"/>
        <v>3.5000000000000003E-2</v>
      </c>
      <c r="BF14" s="176"/>
      <c r="BG14" s="176"/>
      <c r="BH14" s="176"/>
      <c r="BI14" s="176"/>
      <c r="BJ14" s="176"/>
      <c r="BK14" s="176"/>
      <c r="BL14" s="176"/>
      <c r="BM14" s="176"/>
    </row>
    <row r="15" spans="2:65">
      <c r="B15" s="181" t="s">
        <v>429</v>
      </c>
      <c r="C15" s="151" t="s">
        <v>834</v>
      </c>
      <c r="D15" s="183">
        <v>2.7E-2</v>
      </c>
      <c r="E15" s="184">
        <f t="shared" si="29"/>
        <v>2.7E-2</v>
      </c>
      <c r="F15" s="184">
        <f t="shared" si="40"/>
        <v>2.7E-2</v>
      </c>
      <c r="G15" s="184">
        <f t="shared" si="40"/>
        <v>2.7E-2</v>
      </c>
      <c r="H15" s="184">
        <f t="shared" si="40"/>
        <v>2.7E-2</v>
      </c>
      <c r="I15" s="184">
        <f t="shared" si="40"/>
        <v>2.7E-2</v>
      </c>
      <c r="J15" s="184">
        <f t="shared" si="40"/>
        <v>2.7E-2</v>
      </c>
      <c r="K15" s="184">
        <f t="shared" si="40"/>
        <v>2.7E-2</v>
      </c>
      <c r="L15" s="184">
        <f t="shared" si="40"/>
        <v>2.7E-2</v>
      </c>
      <c r="M15" s="184">
        <f t="shared" si="40"/>
        <v>2.7E-2</v>
      </c>
      <c r="N15" s="184">
        <f t="shared" si="40"/>
        <v>2.7E-2</v>
      </c>
      <c r="O15" s="184">
        <f t="shared" si="40"/>
        <v>2.7E-2</v>
      </c>
      <c r="P15" s="184">
        <f t="shared" si="40"/>
        <v>2.7E-2</v>
      </c>
      <c r="Q15" s="184">
        <f t="shared" si="40"/>
        <v>2.7E-2</v>
      </c>
      <c r="R15" s="184">
        <f t="shared" si="40"/>
        <v>2.7E-2</v>
      </c>
      <c r="S15" s="184">
        <f t="shared" si="40"/>
        <v>2.7E-2</v>
      </c>
      <c r="T15" s="184">
        <f t="shared" si="40"/>
        <v>2.7E-2</v>
      </c>
      <c r="U15" s="184">
        <f t="shared" si="40"/>
        <v>2.7E-2</v>
      </c>
      <c r="V15" s="184">
        <f t="shared" si="40"/>
        <v>2.7E-2</v>
      </c>
      <c r="W15" s="184">
        <f t="shared" si="40"/>
        <v>2.7E-2</v>
      </c>
      <c r="X15" s="184">
        <f t="shared" si="40"/>
        <v>2.7E-2</v>
      </c>
      <c r="Y15" s="183">
        <v>2.7E-2</v>
      </c>
      <c r="Z15" s="183">
        <f t="shared" ref="Z15:AA15" si="46">Y15</f>
        <v>2.7E-2</v>
      </c>
      <c r="AA15" s="183">
        <f t="shared" si="46"/>
        <v>2.7E-2</v>
      </c>
      <c r="AB15" s="184">
        <f t="shared" si="41"/>
        <v>2.7E-2</v>
      </c>
      <c r="AC15" s="184">
        <f t="shared" si="41"/>
        <v>2.7E-2</v>
      </c>
      <c r="AD15" s="184">
        <f t="shared" si="41"/>
        <v>2.7E-2</v>
      </c>
      <c r="AE15" s="184">
        <f t="shared" si="41"/>
        <v>2.7E-2</v>
      </c>
      <c r="AF15" s="184">
        <f t="shared" si="41"/>
        <v>2.7E-2</v>
      </c>
      <c r="AG15" s="184">
        <f t="shared" si="41"/>
        <v>2.7E-2</v>
      </c>
      <c r="AH15" s="184">
        <f t="shared" si="41"/>
        <v>2.7E-2</v>
      </c>
      <c r="AI15" s="184">
        <f t="shared" si="41"/>
        <v>2.7E-2</v>
      </c>
      <c r="AJ15" s="184">
        <f t="shared" si="41"/>
        <v>2.7E-2</v>
      </c>
      <c r="AK15" s="184">
        <f t="shared" si="41"/>
        <v>2.7E-2</v>
      </c>
      <c r="AL15" s="184">
        <f t="shared" si="41"/>
        <v>2.7E-2</v>
      </c>
      <c r="AM15" s="184">
        <f t="shared" si="41"/>
        <v>2.7E-2</v>
      </c>
      <c r="AN15" s="183">
        <v>2.7E-2</v>
      </c>
      <c r="AO15" s="183">
        <f t="shared" ref="AO15:AR15" si="47">AN15</f>
        <v>2.7E-2</v>
      </c>
      <c r="AP15" s="183">
        <f t="shared" si="47"/>
        <v>2.7E-2</v>
      </c>
      <c r="AQ15" s="183">
        <f t="shared" si="47"/>
        <v>2.7E-2</v>
      </c>
      <c r="AR15" s="183">
        <f t="shared" si="47"/>
        <v>2.7E-2</v>
      </c>
      <c r="AS15" s="184">
        <f t="shared" si="43"/>
        <v>2.7E-2</v>
      </c>
      <c r="AT15" s="184">
        <f t="shared" si="43"/>
        <v>2.7E-2</v>
      </c>
      <c r="AU15" s="184">
        <f t="shared" si="43"/>
        <v>2.7E-2</v>
      </c>
      <c r="AV15" s="184">
        <f t="shared" si="43"/>
        <v>2.7E-2</v>
      </c>
      <c r="AW15" s="184">
        <f t="shared" si="43"/>
        <v>2.7E-2</v>
      </c>
      <c r="AX15" s="184">
        <f t="shared" si="43"/>
        <v>2.7E-2</v>
      </c>
      <c r="AY15" s="184">
        <f t="shared" si="43"/>
        <v>2.7E-2</v>
      </c>
      <c r="AZ15" s="184">
        <f t="shared" si="43"/>
        <v>2.7E-2</v>
      </c>
      <c r="BA15" s="184">
        <f t="shared" si="43"/>
        <v>2.7E-2</v>
      </c>
      <c r="BB15" s="184">
        <f t="shared" si="43"/>
        <v>2.7E-2</v>
      </c>
      <c r="BC15" s="184">
        <f t="shared" si="43"/>
        <v>2.7E-2</v>
      </c>
      <c r="BD15" s="184">
        <f t="shared" si="43"/>
        <v>2.7E-2</v>
      </c>
      <c r="BE15" s="184">
        <f t="shared" si="43"/>
        <v>2.7E-2</v>
      </c>
      <c r="BF15" s="176"/>
      <c r="BG15" s="176"/>
      <c r="BH15" s="176"/>
      <c r="BI15" s="176"/>
      <c r="BJ15" s="176"/>
      <c r="BK15" s="176"/>
      <c r="BL15" s="176"/>
      <c r="BM15" s="176"/>
    </row>
    <row r="16" spans="2:65" ht="13">
      <c r="B16" s="397" t="s">
        <v>845</v>
      </c>
    </row>
    <row r="17" spans="2:65">
      <c r="B17" s="181" t="s">
        <v>846</v>
      </c>
      <c r="C17" s="151" t="s">
        <v>227</v>
      </c>
      <c r="D17" s="396"/>
      <c r="E17" s="396">
        <v>27</v>
      </c>
      <c r="F17" s="396">
        <v>39</v>
      </c>
      <c r="G17" s="396">
        <v>39</v>
      </c>
      <c r="H17" s="396">
        <v>42</v>
      </c>
      <c r="I17" s="396">
        <f>H17</f>
        <v>42</v>
      </c>
      <c r="J17" s="396">
        <f>J18*2</f>
        <v>44</v>
      </c>
      <c r="K17" s="396">
        <v>42</v>
      </c>
      <c r="L17" s="396">
        <f>K17</f>
        <v>42</v>
      </c>
      <c r="M17" s="179"/>
      <c r="N17" s="179"/>
      <c r="O17" s="179"/>
      <c r="P17" s="396">
        <v>43.7</v>
      </c>
      <c r="Q17" s="396">
        <f>P17</f>
        <v>43.7</v>
      </c>
      <c r="R17" s="396">
        <v>47</v>
      </c>
      <c r="S17" s="396">
        <f>$R17</f>
        <v>47</v>
      </c>
      <c r="T17" s="396">
        <f t="shared" ref="T17:U17" si="48">$R17</f>
        <v>47</v>
      </c>
      <c r="U17" s="396">
        <f t="shared" si="48"/>
        <v>47</v>
      </c>
      <c r="V17" s="396">
        <v>112</v>
      </c>
      <c r="W17" s="396">
        <v>112</v>
      </c>
      <c r="X17" s="396">
        <v>112</v>
      </c>
      <c r="Y17" s="396">
        <v>117</v>
      </c>
      <c r="Z17" s="396">
        <f>Y17</f>
        <v>117</v>
      </c>
      <c r="AA17" s="396">
        <f>Z17</f>
        <v>117</v>
      </c>
      <c r="AB17" s="396">
        <v>136</v>
      </c>
      <c r="AC17" s="396">
        <f>AB17</f>
        <v>136</v>
      </c>
      <c r="AD17" s="396">
        <f t="shared" ref="AD17:AE17" si="49">AC17</f>
        <v>136</v>
      </c>
      <c r="AE17" s="396">
        <f t="shared" si="49"/>
        <v>136</v>
      </c>
      <c r="AF17" s="396">
        <v>137</v>
      </c>
      <c r="AG17" s="396">
        <f>AF17</f>
        <v>137</v>
      </c>
      <c r="AH17" s="396">
        <f t="shared" ref="AH17:AI17" si="50">AG17</f>
        <v>137</v>
      </c>
      <c r="AI17" s="396">
        <f t="shared" si="50"/>
        <v>137</v>
      </c>
      <c r="AJ17" s="396">
        <v>130</v>
      </c>
      <c r="AK17" s="396">
        <f>AJ17</f>
        <v>130</v>
      </c>
      <c r="AL17" s="396">
        <f t="shared" ref="AL17:AM17" si="51">AK17</f>
        <v>130</v>
      </c>
      <c r="AM17" s="396">
        <f t="shared" si="51"/>
        <v>130</v>
      </c>
      <c r="AN17" s="396">
        <v>150</v>
      </c>
      <c r="AO17" s="396">
        <f>AN17</f>
        <v>150</v>
      </c>
      <c r="AP17" s="396">
        <f t="shared" ref="AP17:AR17" si="52">AO17</f>
        <v>150</v>
      </c>
      <c r="AQ17" s="396">
        <f t="shared" si="52"/>
        <v>150</v>
      </c>
      <c r="AR17" s="396">
        <f t="shared" si="52"/>
        <v>150</v>
      </c>
      <c r="AS17" s="396">
        <v>162</v>
      </c>
      <c r="AT17" s="396">
        <f>AS17</f>
        <v>162</v>
      </c>
      <c r="AU17" s="396">
        <f t="shared" ref="AU17" si="53">AT17</f>
        <v>162</v>
      </c>
      <c r="AV17" s="396">
        <f t="shared" ref="AV17" si="54">AU17</f>
        <v>162</v>
      </c>
      <c r="AW17" s="396">
        <f t="shared" ref="AW17" si="55">AV17</f>
        <v>162</v>
      </c>
      <c r="AX17" s="396">
        <v>155</v>
      </c>
      <c r="AY17" s="396">
        <v>162</v>
      </c>
      <c r="AZ17" s="396">
        <f>AY17</f>
        <v>162</v>
      </c>
      <c r="BA17" s="396">
        <f t="shared" ref="BA17:BB17" si="56">AZ17</f>
        <v>162</v>
      </c>
      <c r="BB17" s="396">
        <f t="shared" si="56"/>
        <v>162</v>
      </c>
      <c r="BC17" s="396">
        <v>163</v>
      </c>
      <c r="BD17" s="396">
        <f>BC17</f>
        <v>163</v>
      </c>
      <c r="BE17" s="396">
        <f>2*BE18</f>
        <v>182</v>
      </c>
      <c r="BF17" s="192"/>
      <c r="BG17" s="192"/>
      <c r="BH17" s="192"/>
      <c r="BI17" s="192"/>
      <c r="BJ17" s="192"/>
      <c r="BK17" s="192"/>
      <c r="BL17" s="192"/>
      <c r="BM17" s="192"/>
    </row>
    <row r="18" spans="2:65">
      <c r="B18" s="181" t="s">
        <v>847</v>
      </c>
      <c r="C18" s="151" t="s">
        <v>227</v>
      </c>
      <c r="D18" s="396"/>
      <c r="E18" s="179"/>
      <c r="F18" s="179"/>
      <c r="G18" s="179"/>
      <c r="H18" s="179"/>
      <c r="I18" s="179"/>
      <c r="J18" s="392">
        <v>22</v>
      </c>
      <c r="K18" s="179"/>
      <c r="L18" s="179"/>
      <c r="M18" s="179"/>
      <c r="N18" s="179"/>
      <c r="O18" s="179"/>
      <c r="P18" s="392">
        <v>20.8</v>
      </c>
      <c r="Q18" s="179"/>
      <c r="R18" s="179"/>
      <c r="S18" s="179"/>
      <c r="T18" s="179"/>
      <c r="U18" s="179"/>
      <c r="V18" s="392">
        <v>54.6</v>
      </c>
      <c r="W18" s="392">
        <v>54.6</v>
      </c>
      <c r="X18" s="392">
        <v>54.6</v>
      </c>
      <c r="Y18" s="392">
        <v>57.2</v>
      </c>
      <c r="Z18" s="179"/>
      <c r="AA18" s="179"/>
      <c r="AB18" s="392">
        <v>66.7</v>
      </c>
      <c r="AC18" s="179"/>
      <c r="AD18" s="179"/>
      <c r="AE18" s="179"/>
      <c r="AF18" s="179"/>
      <c r="AG18" s="179"/>
      <c r="AH18" s="179"/>
      <c r="AI18" s="179"/>
      <c r="AJ18" s="392">
        <v>63.7</v>
      </c>
      <c r="AK18" s="179"/>
      <c r="AL18" s="179"/>
      <c r="AM18" s="179"/>
      <c r="AN18" s="392">
        <v>73.7</v>
      </c>
      <c r="AO18" s="179"/>
      <c r="AP18" s="179"/>
      <c r="AQ18" s="179"/>
      <c r="AR18" s="179"/>
      <c r="AS18" s="179"/>
      <c r="AT18" s="179"/>
      <c r="AU18" s="179"/>
      <c r="AV18" s="179"/>
      <c r="AW18" s="179"/>
      <c r="AX18" s="179"/>
      <c r="AY18" s="179"/>
      <c r="AZ18" s="179"/>
      <c r="BA18" s="179"/>
      <c r="BB18" s="179"/>
      <c r="BC18" s="179"/>
      <c r="BD18" s="179"/>
      <c r="BE18" s="392">
        <v>91</v>
      </c>
      <c r="BF18" s="192"/>
      <c r="BG18" s="192"/>
      <c r="BH18" s="192"/>
      <c r="BI18" s="192"/>
      <c r="BJ18" s="192"/>
      <c r="BK18" s="192"/>
      <c r="BL18" s="192"/>
      <c r="BM18" s="192"/>
    </row>
    <row r="19" spans="2:65">
      <c r="B19" s="181" t="s">
        <v>848</v>
      </c>
      <c r="C19" s="151" t="s">
        <v>227</v>
      </c>
      <c r="D19" s="392"/>
      <c r="E19" s="179"/>
      <c r="F19" s="179"/>
      <c r="G19" s="179"/>
      <c r="H19" s="179"/>
      <c r="I19" s="179"/>
      <c r="J19" s="179"/>
      <c r="K19" s="179"/>
      <c r="L19" s="179"/>
      <c r="M19" s="179"/>
      <c r="N19" s="179"/>
      <c r="O19" s="179"/>
      <c r="P19" s="179"/>
      <c r="Q19" s="179"/>
      <c r="R19" s="179"/>
      <c r="S19" s="179"/>
      <c r="T19" s="179"/>
      <c r="U19" s="179"/>
      <c r="V19" s="392">
        <v>4</v>
      </c>
      <c r="W19" s="392">
        <v>4</v>
      </c>
      <c r="X19" s="392">
        <v>4</v>
      </c>
      <c r="Y19" s="392">
        <v>4</v>
      </c>
      <c r="Z19" s="179"/>
      <c r="AA19" s="179"/>
      <c r="AB19" s="392">
        <v>4.0999999999999996</v>
      </c>
      <c r="AC19" s="179"/>
      <c r="AD19" s="179"/>
      <c r="AE19" s="179"/>
      <c r="AF19" s="392">
        <v>4</v>
      </c>
      <c r="AG19" s="179"/>
      <c r="AH19" s="179"/>
      <c r="AI19" s="179"/>
      <c r="AJ19" s="179"/>
      <c r="AK19" s="179"/>
      <c r="AL19" s="179"/>
      <c r="AM19" s="179"/>
      <c r="AN19" s="392">
        <v>4.2</v>
      </c>
      <c r="AO19" s="179"/>
      <c r="AP19" s="179"/>
      <c r="AQ19" s="179"/>
      <c r="AR19" s="179"/>
      <c r="AS19" s="179"/>
      <c r="AT19" s="179"/>
      <c r="AU19" s="179"/>
      <c r="AV19" s="179"/>
      <c r="AW19" s="179"/>
      <c r="AX19" s="179"/>
      <c r="AY19" s="179"/>
      <c r="AZ19" s="179"/>
      <c r="BA19" s="179"/>
      <c r="BB19" s="179"/>
      <c r="BC19" s="179"/>
      <c r="BD19" s="179"/>
      <c r="BE19" s="179"/>
      <c r="BF19" s="175"/>
      <c r="BG19" s="175"/>
      <c r="BH19" s="175"/>
      <c r="BI19" s="175"/>
      <c r="BJ19" s="175"/>
      <c r="BK19" s="175"/>
      <c r="BL19" s="175"/>
      <c r="BM19" s="175"/>
    </row>
    <row r="20" spans="2:65">
      <c r="B20" s="181" t="s">
        <v>849</v>
      </c>
      <c r="C20" s="151" t="s">
        <v>227</v>
      </c>
      <c r="D20" s="392"/>
      <c r="E20" s="179"/>
      <c r="F20" s="179"/>
      <c r="G20" s="179"/>
      <c r="H20" s="179"/>
      <c r="I20" s="179"/>
      <c r="J20" s="179"/>
      <c r="K20" s="179"/>
      <c r="L20" s="179"/>
      <c r="M20" s="179"/>
      <c r="N20" s="179"/>
      <c r="O20" s="179"/>
      <c r="P20" s="179"/>
      <c r="Q20" s="179"/>
      <c r="R20" s="179"/>
      <c r="S20" s="179"/>
      <c r="T20" s="179"/>
      <c r="U20" s="179"/>
      <c r="V20" s="392">
        <v>3.9</v>
      </c>
      <c r="W20" s="392">
        <v>3.9</v>
      </c>
      <c r="X20" s="392">
        <v>3.9</v>
      </c>
      <c r="Y20" s="392">
        <v>3.8</v>
      </c>
      <c r="Z20" s="179"/>
      <c r="AA20" s="179"/>
      <c r="AB20" s="392">
        <v>3.8</v>
      </c>
      <c r="AC20" s="179"/>
      <c r="AD20" s="179"/>
      <c r="AE20" s="179"/>
      <c r="AF20" s="179"/>
      <c r="AG20" s="179"/>
      <c r="AH20" s="179"/>
      <c r="AI20" s="179"/>
      <c r="AJ20" s="179"/>
      <c r="AK20" s="179"/>
      <c r="AL20" s="179"/>
      <c r="AM20" s="179"/>
      <c r="AN20" s="392">
        <v>3.5</v>
      </c>
      <c r="AO20" s="179"/>
      <c r="AP20" s="179"/>
      <c r="AQ20" s="179"/>
      <c r="AR20" s="179"/>
      <c r="AS20" s="179"/>
      <c r="AT20" s="179"/>
      <c r="AU20" s="179"/>
      <c r="AV20" s="179"/>
      <c r="AW20" s="179"/>
      <c r="AX20" s="179"/>
      <c r="AY20" s="179"/>
      <c r="AZ20" s="179"/>
      <c r="BA20" s="179"/>
      <c r="BB20" s="179"/>
      <c r="BC20" s="179"/>
      <c r="BD20" s="179"/>
      <c r="BE20" s="179"/>
      <c r="BF20" s="175"/>
      <c r="BG20" s="175"/>
      <c r="BH20" s="175"/>
      <c r="BI20" s="175"/>
      <c r="BJ20" s="175"/>
      <c r="BK20" s="175"/>
      <c r="BL20" s="175"/>
      <c r="BM20" s="175"/>
    </row>
    <row r="21" spans="2:65">
      <c r="B21" s="181" t="s">
        <v>850</v>
      </c>
      <c r="C21" s="151" t="s">
        <v>227</v>
      </c>
      <c r="D21" s="392"/>
      <c r="E21" s="179"/>
      <c r="F21" s="179"/>
      <c r="G21" s="179"/>
      <c r="H21" s="179"/>
      <c r="I21" s="179"/>
      <c r="J21" s="179"/>
      <c r="K21" s="179"/>
      <c r="L21" s="179"/>
      <c r="M21" s="179"/>
      <c r="N21" s="179"/>
      <c r="O21" s="179"/>
      <c r="P21" s="179"/>
      <c r="Q21" s="179"/>
      <c r="R21" s="179"/>
      <c r="S21" s="179"/>
      <c r="T21" s="179"/>
      <c r="U21" s="179"/>
      <c r="V21" s="179"/>
      <c r="W21" s="179"/>
      <c r="X21" s="179"/>
      <c r="Y21" s="392">
        <v>3.8</v>
      </c>
      <c r="Z21" s="179"/>
      <c r="AA21" s="179"/>
      <c r="AB21" s="392">
        <v>3.8</v>
      </c>
      <c r="AC21" s="179"/>
      <c r="AD21" s="179"/>
      <c r="AE21" s="179"/>
      <c r="AF21" s="179"/>
      <c r="AG21" s="179"/>
      <c r="AH21" s="179"/>
      <c r="AI21" s="179"/>
      <c r="AJ21" s="179"/>
      <c r="AK21" s="179"/>
      <c r="AL21" s="179"/>
      <c r="AM21" s="179"/>
      <c r="AN21" s="392">
        <v>3.7</v>
      </c>
      <c r="AO21" s="179"/>
      <c r="AP21" s="179"/>
      <c r="AQ21" s="179"/>
      <c r="AR21" s="179"/>
      <c r="AS21" s="179"/>
      <c r="AT21" s="179"/>
      <c r="AU21" s="179"/>
      <c r="AV21" s="179"/>
      <c r="AW21" s="179"/>
      <c r="AX21" s="179"/>
      <c r="AY21" s="179"/>
      <c r="AZ21" s="179"/>
      <c r="BA21" s="179"/>
      <c r="BB21" s="179"/>
      <c r="BC21" s="179"/>
      <c r="BD21" s="179"/>
      <c r="BE21" s="179"/>
      <c r="BF21" s="175"/>
      <c r="BG21" s="175"/>
      <c r="BH21" s="175"/>
      <c r="BI21" s="175"/>
      <c r="BJ21" s="175"/>
      <c r="BK21" s="175"/>
      <c r="BL21" s="175"/>
      <c r="BM21" s="175"/>
    </row>
    <row r="22" spans="2:65">
      <c r="B22" s="181" t="s">
        <v>851</v>
      </c>
      <c r="C22" s="151" t="s">
        <v>227</v>
      </c>
      <c r="D22" s="392"/>
      <c r="E22" s="179"/>
      <c r="F22" s="179"/>
      <c r="G22" s="179"/>
      <c r="H22" s="179"/>
      <c r="I22" s="179"/>
      <c r="J22" s="179"/>
      <c r="K22" s="179"/>
      <c r="L22" s="179"/>
      <c r="M22" s="179"/>
      <c r="N22" s="179"/>
      <c r="O22" s="179"/>
      <c r="P22" s="179"/>
      <c r="Q22" s="179"/>
      <c r="R22" s="179"/>
      <c r="S22" s="179"/>
      <c r="T22" s="179"/>
      <c r="U22" s="179"/>
      <c r="V22" s="179"/>
      <c r="W22" s="179"/>
      <c r="X22" s="179"/>
      <c r="Y22" s="392">
        <v>5.5</v>
      </c>
      <c r="Z22" s="179"/>
      <c r="AA22" s="179"/>
      <c r="AB22" s="392">
        <v>5.5</v>
      </c>
      <c r="AC22" s="179"/>
      <c r="AD22" s="179"/>
      <c r="AE22" s="179"/>
      <c r="AF22" s="179"/>
      <c r="AG22" s="179"/>
      <c r="AH22" s="179"/>
      <c r="AI22" s="179"/>
      <c r="AJ22" s="179"/>
      <c r="AK22" s="179"/>
      <c r="AL22" s="179"/>
      <c r="AM22" s="179"/>
      <c r="AN22" s="392">
        <v>5.5</v>
      </c>
      <c r="AO22" s="179"/>
      <c r="AP22" s="179"/>
      <c r="AQ22" s="179"/>
      <c r="AR22" s="179"/>
      <c r="AS22" s="179"/>
      <c r="AT22" s="179"/>
      <c r="AU22" s="179"/>
      <c r="AV22" s="179"/>
      <c r="AW22" s="179"/>
      <c r="AX22" s="179"/>
      <c r="AY22" s="179"/>
      <c r="AZ22" s="179"/>
      <c r="BA22" s="179"/>
      <c r="BB22" s="179"/>
      <c r="BC22" s="179"/>
      <c r="BD22" s="179"/>
      <c r="BE22" s="179"/>
      <c r="BF22" s="175"/>
      <c r="BG22" s="175"/>
      <c r="BH22" s="175"/>
      <c r="BI22" s="175"/>
      <c r="BJ22" s="175"/>
      <c r="BK22" s="175"/>
      <c r="BL22" s="175"/>
      <c r="BM22" s="175"/>
    </row>
    <row r="23" spans="2:65">
      <c r="B23" s="181" t="s">
        <v>852</v>
      </c>
      <c r="C23" s="151" t="s">
        <v>227</v>
      </c>
      <c r="D23" s="392"/>
      <c r="E23" s="179"/>
      <c r="F23" s="179"/>
      <c r="G23" s="179"/>
      <c r="H23" s="179"/>
      <c r="I23" s="179"/>
      <c r="J23" s="179"/>
      <c r="K23" s="179"/>
      <c r="L23" s="179"/>
      <c r="M23" s="179"/>
      <c r="N23" s="179"/>
      <c r="O23" s="179"/>
      <c r="P23" s="179"/>
      <c r="Q23" s="179"/>
      <c r="R23" s="179"/>
      <c r="S23" s="179"/>
      <c r="T23" s="179"/>
      <c r="U23" s="179"/>
      <c r="V23" s="392">
        <v>3.2</v>
      </c>
      <c r="W23" s="392">
        <v>3.2</v>
      </c>
      <c r="X23" s="392">
        <v>3.2</v>
      </c>
      <c r="Y23" s="179"/>
      <c r="Z23" s="179"/>
      <c r="AA23" s="179"/>
      <c r="AB23" s="179"/>
      <c r="AC23" s="179"/>
      <c r="AD23" s="179"/>
      <c r="AE23" s="179"/>
      <c r="AF23" s="179"/>
      <c r="AG23" s="179"/>
      <c r="AH23" s="179"/>
      <c r="AI23" s="179"/>
      <c r="AJ23" s="179"/>
      <c r="AK23" s="179"/>
      <c r="AL23" s="179"/>
      <c r="AM23" s="179"/>
      <c r="AN23" s="179"/>
      <c r="AO23" s="179"/>
      <c r="AP23" s="179"/>
      <c r="AQ23" s="179"/>
      <c r="AR23" s="179"/>
      <c r="AS23" s="179"/>
      <c r="AT23" s="179"/>
      <c r="AU23" s="179"/>
      <c r="AV23" s="179"/>
      <c r="AW23" s="179"/>
      <c r="AX23" s="179"/>
      <c r="AY23" s="179"/>
      <c r="AZ23" s="179"/>
      <c r="BA23" s="179"/>
      <c r="BB23" s="179"/>
      <c r="BC23" s="179"/>
      <c r="BD23" s="179"/>
      <c r="BE23" s="179"/>
      <c r="BF23" s="175"/>
      <c r="BG23" s="175"/>
      <c r="BH23" s="175"/>
      <c r="BI23" s="175"/>
      <c r="BJ23" s="175"/>
      <c r="BK23" s="175"/>
      <c r="BL23" s="175"/>
      <c r="BM23" s="175"/>
    </row>
    <row r="24" spans="2:65">
      <c r="B24" s="181" t="s">
        <v>853</v>
      </c>
      <c r="C24" s="151" t="s">
        <v>243</v>
      </c>
      <c r="D24" s="396"/>
      <c r="E24" s="179"/>
      <c r="F24" s="392">
        <f>1.1*3</f>
        <v>3.3000000000000003</v>
      </c>
      <c r="G24" s="392">
        <f>1.1*3</f>
        <v>3.3000000000000003</v>
      </c>
      <c r="H24" s="392">
        <f>1.2*3</f>
        <v>3.5999999999999996</v>
      </c>
      <c r="I24" s="392">
        <f>1.2*3</f>
        <v>3.5999999999999996</v>
      </c>
      <c r="J24" s="179"/>
      <c r="K24" s="392">
        <f>1.2*3</f>
        <v>3.5999999999999996</v>
      </c>
      <c r="L24" s="392">
        <f>1.2*3</f>
        <v>3.5999999999999996</v>
      </c>
      <c r="M24" s="392">
        <f>1.5*3</f>
        <v>4.5</v>
      </c>
      <c r="N24" s="392">
        <f t="shared" ref="N24:O24" si="57">1.5*3</f>
        <v>4.5</v>
      </c>
      <c r="O24" s="392">
        <f t="shared" si="57"/>
        <v>4.5</v>
      </c>
      <c r="P24" s="396">
        <v>8.6999999999999993</v>
      </c>
      <c r="Q24" s="396">
        <f>P24</f>
        <v>8.6999999999999993</v>
      </c>
      <c r="R24" s="179"/>
      <c r="S24" s="179"/>
      <c r="T24" s="179"/>
      <c r="U24" s="179"/>
      <c r="V24" s="396">
        <f>AVERAGE(27,32)</f>
        <v>29.5</v>
      </c>
      <c r="W24" s="396">
        <f>V24</f>
        <v>29.5</v>
      </c>
      <c r="X24" s="396">
        <f>W24</f>
        <v>29.5</v>
      </c>
      <c r="Y24" s="396">
        <v>20</v>
      </c>
      <c r="Z24" s="396">
        <f>Y24</f>
        <v>20</v>
      </c>
      <c r="AA24" s="396">
        <f>Z24</f>
        <v>20</v>
      </c>
      <c r="AB24" s="396">
        <v>22</v>
      </c>
      <c r="AC24" s="396">
        <f>AB24</f>
        <v>22</v>
      </c>
      <c r="AD24" s="396">
        <f t="shared" ref="AD24:AE24" si="58">AC24</f>
        <v>22</v>
      </c>
      <c r="AE24" s="396">
        <f t="shared" si="58"/>
        <v>22</v>
      </c>
      <c r="AF24" s="396">
        <v>22</v>
      </c>
      <c r="AG24" s="396">
        <f>AF24</f>
        <v>22</v>
      </c>
      <c r="AH24" s="396">
        <f t="shared" ref="AH24:AI24" si="59">AG24</f>
        <v>22</v>
      </c>
      <c r="AI24" s="396">
        <f t="shared" si="59"/>
        <v>22</v>
      </c>
      <c r="AJ24" s="396">
        <v>24</v>
      </c>
      <c r="AK24" s="396">
        <f>AJ24</f>
        <v>24</v>
      </c>
      <c r="AL24" s="396">
        <f t="shared" ref="AL24:AM24" si="60">AK24</f>
        <v>24</v>
      </c>
      <c r="AM24" s="396">
        <f t="shared" si="60"/>
        <v>24</v>
      </c>
      <c r="AN24" s="396">
        <f>AVERAGE(40,60)</f>
        <v>50</v>
      </c>
      <c r="AO24" s="396">
        <f>AN24</f>
        <v>50</v>
      </c>
      <c r="AP24" s="396">
        <f t="shared" ref="AP24:AR24" si="61">AO24</f>
        <v>50</v>
      </c>
      <c r="AQ24" s="396">
        <f t="shared" si="61"/>
        <v>50</v>
      </c>
      <c r="AR24" s="396">
        <f t="shared" si="61"/>
        <v>50</v>
      </c>
      <c r="AS24" s="179"/>
      <c r="AT24" s="179"/>
      <c r="AU24" s="179"/>
      <c r="AV24" s="179"/>
      <c r="AW24" s="179"/>
      <c r="AX24" s="396">
        <f>55</f>
        <v>55</v>
      </c>
      <c r="AY24" s="396">
        <f>AX24</f>
        <v>55</v>
      </c>
      <c r="AZ24" s="396">
        <f t="shared" ref="AZ24:BB24" si="62">AY24</f>
        <v>55</v>
      </c>
      <c r="BA24" s="396">
        <f t="shared" si="62"/>
        <v>55</v>
      </c>
      <c r="BB24" s="396">
        <f t="shared" si="62"/>
        <v>55</v>
      </c>
      <c r="BC24" s="396">
        <v>55</v>
      </c>
      <c r="BD24" s="396">
        <f>BC24</f>
        <v>55</v>
      </c>
      <c r="BE24" s="179"/>
      <c r="BF24" s="192"/>
      <c r="BG24" s="192"/>
      <c r="BH24" s="192"/>
      <c r="BI24" s="192"/>
      <c r="BJ24" s="192"/>
      <c r="BK24" s="192"/>
      <c r="BL24" s="192"/>
      <c r="BM24" s="192"/>
    </row>
    <row r="25" spans="2:65">
      <c r="B25" s="181" t="s">
        <v>854</v>
      </c>
      <c r="C25" s="151" t="s">
        <v>243</v>
      </c>
      <c r="D25" s="396"/>
      <c r="E25" s="392">
        <v>2.9</v>
      </c>
      <c r="F25" s="179"/>
      <c r="G25" s="179"/>
      <c r="H25" s="392">
        <v>8.4</v>
      </c>
      <c r="I25" s="392">
        <f>H25</f>
        <v>8.4</v>
      </c>
      <c r="J25" s="179"/>
      <c r="K25" s="392">
        <v>8.4</v>
      </c>
      <c r="L25" s="392">
        <f>K25</f>
        <v>8.4</v>
      </c>
      <c r="M25" s="392">
        <v>8.4</v>
      </c>
      <c r="N25" s="392">
        <f>M25</f>
        <v>8.4</v>
      </c>
      <c r="O25" s="392">
        <f>N25</f>
        <v>8.4</v>
      </c>
      <c r="P25" s="179"/>
      <c r="Q25" s="179"/>
      <c r="R25" s="392">
        <v>7.2</v>
      </c>
      <c r="S25" s="392">
        <f>R25</f>
        <v>7.2</v>
      </c>
      <c r="T25" s="392">
        <f t="shared" ref="T25:U25" si="63">S25</f>
        <v>7.2</v>
      </c>
      <c r="U25" s="392">
        <f t="shared" si="63"/>
        <v>7.2</v>
      </c>
      <c r="V25" s="179"/>
      <c r="W25" s="179"/>
      <c r="X25" s="179"/>
      <c r="Y25" s="179"/>
      <c r="Z25" s="179"/>
      <c r="AA25" s="179"/>
      <c r="AB25" s="179"/>
      <c r="AC25" s="179"/>
      <c r="AD25" s="179"/>
      <c r="AE25" s="179"/>
      <c r="AF25" s="179"/>
      <c r="AG25" s="179"/>
      <c r="AH25" s="179"/>
      <c r="AI25" s="179"/>
      <c r="AJ25" s="179"/>
      <c r="AK25" s="179"/>
      <c r="AL25" s="179"/>
      <c r="AM25" s="179"/>
      <c r="AN25" s="179"/>
      <c r="AO25" s="179"/>
      <c r="AP25" s="179"/>
      <c r="AQ25" s="179"/>
      <c r="AR25" s="179"/>
      <c r="AS25" s="179"/>
      <c r="AT25" s="179"/>
      <c r="AU25" s="179"/>
      <c r="AV25" s="179"/>
      <c r="AW25" s="179"/>
      <c r="AX25" s="179"/>
      <c r="AY25" s="179"/>
      <c r="AZ25" s="179"/>
      <c r="BA25" s="179"/>
      <c r="BB25" s="179"/>
      <c r="BC25" s="179"/>
      <c r="BD25" s="179"/>
      <c r="BE25" s="179"/>
      <c r="BF25" s="192"/>
      <c r="BG25" s="192"/>
      <c r="BH25" s="192"/>
      <c r="BI25" s="192"/>
      <c r="BJ25" s="192"/>
      <c r="BK25" s="192"/>
      <c r="BL25" s="192"/>
      <c r="BM25" s="192"/>
    </row>
    <row r="26" spans="2:65" ht="13">
      <c r="B26" s="397" t="s">
        <v>431</v>
      </c>
    </row>
    <row r="27" spans="2:65" ht="13" customHeight="1">
      <c r="B27" s="181" t="s">
        <v>855</v>
      </c>
      <c r="C27" s="151" t="s">
        <v>227</v>
      </c>
      <c r="D27" s="396"/>
      <c r="E27" s="392">
        <v>33.5</v>
      </c>
      <c r="F27" s="392">
        <v>40.5</v>
      </c>
      <c r="G27" s="392">
        <v>53</v>
      </c>
      <c r="H27" s="392">
        <v>40.5</v>
      </c>
      <c r="I27" s="392">
        <v>53</v>
      </c>
      <c r="J27" s="186">
        <v>35</v>
      </c>
      <c r="K27" s="392">
        <v>40.5</v>
      </c>
      <c r="L27" s="392">
        <v>53</v>
      </c>
      <c r="M27" s="392">
        <v>40.5</v>
      </c>
      <c r="N27" s="392">
        <v>53</v>
      </c>
      <c r="O27" s="392">
        <v>63</v>
      </c>
      <c r="P27" s="396">
        <v>50</v>
      </c>
      <c r="Q27" s="396">
        <v>78</v>
      </c>
      <c r="R27" s="396">
        <v>40</v>
      </c>
      <c r="S27" s="396">
        <v>45</v>
      </c>
      <c r="T27" s="396">
        <v>50</v>
      </c>
      <c r="U27" s="396">
        <v>55</v>
      </c>
      <c r="V27" s="396">
        <v>84</v>
      </c>
      <c r="W27" s="396">
        <v>94</v>
      </c>
      <c r="X27" s="396">
        <v>119</v>
      </c>
      <c r="Y27" s="396">
        <v>80</v>
      </c>
      <c r="Z27" s="396">
        <v>91.5</v>
      </c>
      <c r="AA27" s="396">
        <v>116.5</v>
      </c>
      <c r="AB27" s="396">
        <v>82</v>
      </c>
      <c r="AC27" s="396">
        <v>112</v>
      </c>
      <c r="AD27" s="396">
        <v>142</v>
      </c>
      <c r="AE27" s="396">
        <v>166</v>
      </c>
      <c r="AF27" s="396">
        <v>110</v>
      </c>
      <c r="AG27" s="396">
        <v>131.4</v>
      </c>
      <c r="AH27" s="396">
        <v>149</v>
      </c>
      <c r="AI27" s="396">
        <v>164.5</v>
      </c>
      <c r="AJ27" s="396">
        <v>85</v>
      </c>
      <c r="AK27" s="396">
        <v>110</v>
      </c>
      <c r="AL27" s="396">
        <v>131.4</v>
      </c>
      <c r="AM27" s="396">
        <v>164.5</v>
      </c>
      <c r="AN27" s="396">
        <v>105</v>
      </c>
      <c r="AO27" s="396">
        <v>123</v>
      </c>
      <c r="AP27" s="396">
        <v>145</v>
      </c>
      <c r="AQ27" s="396">
        <v>155</v>
      </c>
      <c r="AR27" s="396">
        <v>166</v>
      </c>
      <c r="AS27" s="396">
        <v>119</v>
      </c>
      <c r="AT27" s="396">
        <v>125</v>
      </c>
      <c r="AU27" s="396">
        <v>149</v>
      </c>
      <c r="AV27" s="396">
        <v>166</v>
      </c>
      <c r="AW27" s="396">
        <v>169</v>
      </c>
      <c r="AX27" s="396">
        <v>110</v>
      </c>
      <c r="AY27" s="396">
        <v>119</v>
      </c>
      <c r="AZ27" s="396">
        <v>125</v>
      </c>
      <c r="BA27" s="396">
        <v>149</v>
      </c>
      <c r="BB27" s="396">
        <v>166</v>
      </c>
      <c r="BC27" s="396">
        <v>118</v>
      </c>
      <c r="BD27" s="396">
        <v>164</v>
      </c>
      <c r="BE27" s="396">
        <v>166</v>
      </c>
      <c r="BF27" s="192"/>
      <c r="BG27" s="192"/>
      <c r="BH27" s="192"/>
      <c r="BI27" s="192"/>
      <c r="BJ27" s="192"/>
      <c r="BK27" s="192"/>
      <c r="BL27" s="192"/>
      <c r="BM27" s="192"/>
    </row>
    <row r="28" spans="2:65">
      <c r="B28" s="181" t="s">
        <v>856</v>
      </c>
      <c r="C28" s="151" t="s">
        <v>227</v>
      </c>
      <c r="D28" s="394"/>
      <c r="E28" s="179"/>
      <c r="F28" s="179"/>
      <c r="G28" s="179"/>
      <c r="H28" s="179"/>
      <c r="I28" s="179"/>
      <c r="J28" s="179"/>
      <c r="K28" s="179"/>
      <c r="L28" s="179"/>
      <c r="M28" s="179"/>
      <c r="N28" s="179"/>
      <c r="O28" s="179"/>
      <c r="P28" s="179"/>
      <c r="Q28" s="179"/>
      <c r="R28" s="394">
        <v>3</v>
      </c>
      <c r="S28" s="394">
        <v>3</v>
      </c>
      <c r="T28" s="394">
        <v>3.3</v>
      </c>
      <c r="U28" s="394">
        <v>3.3</v>
      </c>
      <c r="V28" s="394">
        <v>4.2</v>
      </c>
      <c r="W28" s="394">
        <v>4.2</v>
      </c>
      <c r="X28" s="394">
        <v>4.45</v>
      </c>
      <c r="Y28" s="179"/>
      <c r="Z28" s="179"/>
      <c r="AA28" s="179"/>
      <c r="AB28" s="179"/>
      <c r="AC28" s="179"/>
      <c r="AD28" s="179"/>
      <c r="AE28" s="179"/>
      <c r="AF28" s="179"/>
      <c r="AG28" s="179"/>
      <c r="AH28" s="179"/>
      <c r="AI28" s="179"/>
      <c r="AJ28" s="179"/>
      <c r="AK28" s="179"/>
      <c r="AL28" s="179"/>
      <c r="AM28" s="179"/>
      <c r="AN28" s="179"/>
      <c r="AO28" s="179"/>
      <c r="AP28" s="179"/>
      <c r="AQ28" s="179"/>
      <c r="AR28" s="179"/>
      <c r="AS28" s="179"/>
      <c r="AT28" s="179"/>
      <c r="AU28" s="179"/>
      <c r="AV28" s="179"/>
      <c r="AW28" s="179"/>
      <c r="AX28" s="179"/>
      <c r="AY28" s="179"/>
      <c r="AZ28" s="179"/>
      <c r="BA28" s="179"/>
      <c r="BB28" s="179"/>
      <c r="BC28" s="179"/>
      <c r="BD28" s="179"/>
      <c r="BE28" s="179"/>
      <c r="BF28" s="178"/>
      <c r="BG28" s="178"/>
      <c r="BH28" s="178"/>
      <c r="BI28" s="178"/>
      <c r="BJ28" s="178"/>
      <c r="BK28" s="178"/>
      <c r="BL28" s="178"/>
      <c r="BM28" s="178"/>
    </row>
    <row r="29" spans="2:65">
      <c r="B29" s="181" t="s">
        <v>857</v>
      </c>
      <c r="C29" s="151" t="s">
        <v>227</v>
      </c>
      <c r="D29" s="394"/>
      <c r="E29" s="179"/>
      <c r="F29" s="179"/>
      <c r="G29" s="179"/>
      <c r="H29" s="179"/>
      <c r="I29" s="179"/>
      <c r="J29" s="179"/>
      <c r="K29" s="179"/>
      <c r="L29" s="179"/>
      <c r="M29" s="179"/>
      <c r="N29" s="179"/>
      <c r="O29" s="179"/>
      <c r="P29" s="179"/>
      <c r="Q29" s="179"/>
      <c r="R29" s="394">
        <v>2</v>
      </c>
      <c r="S29" s="394">
        <v>2</v>
      </c>
      <c r="T29" s="394">
        <v>2</v>
      </c>
      <c r="U29" s="394">
        <v>2</v>
      </c>
      <c r="V29" s="394">
        <v>2</v>
      </c>
      <c r="W29" s="179"/>
      <c r="X29" s="179"/>
      <c r="Y29" s="179"/>
      <c r="Z29" s="179"/>
      <c r="AA29" s="179"/>
      <c r="AB29" s="179"/>
      <c r="AC29" s="179"/>
      <c r="AD29" s="179"/>
      <c r="AE29" s="179"/>
      <c r="AF29" s="179"/>
      <c r="AG29" s="179"/>
      <c r="AH29" s="179"/>
      <c r="AI29" s="179"/>
      <c r="AJ29" s="179"/>
      <c r="AK29" s="179"/>
      <c r="AL29" s="179"/>
      <c r="AM29" s="179"/>
      <c r="AN29" s="179"/>
      <c r="AO29" s="179"/>
      <c r="AP29" s="179"/>
      <c r="AQ29" s="179"/>
      <c r="AR29" s="179"/>
      <c r="AS29" s="179"/>
      <c r="AT29" s="179"/>
      <c r="AU29" s="179"/>
      <c r="AV29" s="179"/>
      <c r="AW29" s="179"/>
      <c r="AX29" s="179"/>
      <c r="AY29" s="179"/>
      <c r="AZ29" s="179"/>
      <c r="BA29" s="179"/>
      <c r="BB29" s="179"/>
      <c r="BC29" s="179"/>
      <c r="BD29" s="179"/>
      <c r="BE29" s="179"/>
      <c r="BF29" s="178"/>
      <c r="BG29" s="178"/>
      <c r="BH29" s="178"/>
      <c r="BI29" s="178"/>
      <c r="BJ29" s="178"/>
      <c r="BK29" s="178"/>
      <c r="BL29" s="178"/>
      <c r="BM29" s="178"/>
    </row>
    <row r="30" spans="2:65">
      <c r="B30" s="181" t="s">
        <v>330</v>
      </c>
      <c r="C30" s="151" t="s">
        <v>243</v>
      </c>
      <c r="D30" s="392"/>
      <c r="E30" s="392">
        <v>12</v>
      </c>
      <c r="F30" s="186">
        <v>20</v>
      </c>
      <c r="G30" s="392">
        <v>58</v>
      </c>
      <c r="H30" s="186">
        <v>45</v>
      </c>
      <c r="I30" s="392">
        <v>41</v>
      </c>
      <c r="J30" s="186">
        <v>45</v>
      </c>
      <c r="K30" s="186">
        <v>45</v>
      </c>
      <c r="L30" s="392">
        <v>41</v>
      </c>
      <c r="M30" s="186">
        <v>45</v>
      </c>
      <c r="N30" s="186">
        <v>45</v>
      </c>
      <c r="O30" s="392">
        <v>58</v>
      </c>
      <c r="P30" s="392">
        <v>50</v>
      </c>
      <c r="Q30" s="392">
        <v>55</v>
      </c>
      <c r="R30" s="392">
        <v>28.9</v>
      </c>
      <c r="S30" s="392">
        <v>33</v>
      </c>
      <c r="T30" s="392">
        <v>38</v>
      </c>
      <c r="U30" s="392">
        <v>50.7</v>
      </c>
      <c r="V30" s="392">
        <v>70</v>
      </c>
      <c r="W30" s="392">
        <f>V30+2</f>
        <v>72</v>
      </c>
      <c r="X30" s="392">
        <f>W30+2</f>
        <v>74</v>
      </c>
      <c r="Y30" s="392">
        <v>80</v>
      </c>
      <c r="Z30" s="392">
        <f>Y30+3</f>
        <v>83</v>
      </c>
      <c r="AA30" s="392">
        <f>Z30+3</f>
        <v>86</v>
      </c>
      <c r="AB30" s="392">
        <v>90</v>
      </c>
      <c r="AC30" s="392">
        <f>AB30+3</f>
        <v>93</v>
      </c>
      <c r="AD30" s="392">
        <f t="shared" ref="AD30:AE30" si="64">AC30+3</f>
        <v>96</v>
      </c>
      <c r="AE30" s="392">
        <f t="shared" si="64"/>
        <v>99</v>
      </c>
      <c r="AF30" s="392">
        <v>93</v>
      </c>
      <c r="AG30" s="392">
        <f>AF30+3</f>
        <v>96</v>
      </c>
      <c r="AH30" s="392">
        <f t="shared" ref="AH30:AI30" si="65">AG30+3</f>
        <v>99</v>
      </c>
      <c r="AI30" s="392">
        <f t="shared" si="65"/>
        <v>102</v>
      </c>
      <c r="AJ30" s="392">
        <v>95</v>
      </c>
      <c r="AK30" s="392">
        <f>AJ30+3</f>
        <v>98</v>
      </c>
      <c r="AL30" s="392">
        <f t="shared" ref="AL30:AM30" si="66">AK30+3</f>
        <v>101</v>
      </c>
      <c r="AM30" s="392">
        <f t="shared" si="66"/>
        <v>104</v>
      </c>
      <c r="AN30" s="392">
        <v>110</v>
      </c>
      <c r="AO30" s="392">
        <f>AN30+5</f>
        <v>115</v>
      </c>
      <c r="AP30" s="392">
        <f t="shared" ref="AP30:AR30" si="67">AO30+5</f>
        <v>120</v>
      </c>
      <c r="AQ30" s="392">
        <f t="shared" si="67"/>
        <v>125</v>
      </c>
      <c r="AR30" s="392">
        <f t="shared" si="67"/>
        <v>130</v>
      </c>
      <c r="AS30" s="186">
        <v>150</v>
      </c>
      <c r="AT30" s="186">
        <v>150</v>
      </c>
      <c r="AU30" s="186">
        <v>150</v>
      </c>
      <c r="AV30" s="186">
        <v>150</v>
      </c>
      <c r="AW30" s="186">
        <v>150</v>
      </c>
      <c r="AX30" s="392">
        <v>112</v>
      </c>
      <c r="AY30" s="392">
        <v>130</v>
      </c>
      <c r="AZ30" s="392">
        <f t="shared" ref="AZ30:BB30" si="68">AY30+5</f>
        <v>135</v>
      </c>
      <c r="BA30" s="392">
        <f t="shared" si="68"/>
        <v>140</v>
      </c>
      <c r="BB30" s="392">
        <f t="shared" si="68"/>
        <v>145</v>
      </c>
      <c r="BC30" s="392">
        <v>120</v>
      </c>
      <c r="BD30" s="392">
        <v>140</v>
      </c>
      <c r="BE30" s="392">
        <v>130</v>
      </c>
      <c r="BF30" s="175"/>
      <c r="BG30" s="175"/>
      <c r="BH30" s="175"/>
      <c r="BI30" s="175"/>
      <c r="BJ30" s="175"/>
      <c r="BK30" s="175"/>
      <c r="BL30" s="175"/>
      <c r="BM30" s="175"/>
    </row>
    <row r="31" spans="2:65" ht="13">
      <c r="B31" s="397" t="s">
        <v>430</v>
      </c>
      <c r="AA31" s="214" t="s">
        <v>858</v>
      </c>
    </row>
    <row r="32" spans="2:65">
      <c r="B32" s="181" t="s">
        <v>859</v>
      </c>
      <c r="C32" s="151" t="s">
        <v>227</v>
      </c>
      <c r="D32" s="392"/>
      <c r="E32" s="179"/>
      <c r="F32" s="179"/>
      <c r="G32" s="179"/>
      <c r="H32" s="179"/>
      <c r="I32" s="179"/>
      <c r="J32" s="179"/>
      <c r="K32" s="179"/>
      <c r="L32" s="179"/>
      <c r="M32" s="179"/>
      <c r="N32" s="179"/>
      <c r="O32" s="179"/>
      <c r="P32" s="179"/>
      <c r="Q32" s="179"/>
      <c r="R32" s="179"/>
      <c r="S32" s="179"/>
      <c r="T32" s="179"/>
      <c r="U32" s="179"/>
      <c r="V32" s="392">
        <v>3.9</v>
      </c>
      <c r="W32" s="179"/>
      <c r="X32" s="179"/>
      <c r="Y32" s="392">
        <v>6.9</v>
      </c>
      <c r="Z32" s="179"/>
      <c r="AA32" s="179"/>
      <c r="AB32" s="392">
        <v>6.9</v>
      </c>
      <c r="AC32" s="179"/>
      <c r="AD32" s="179"/>
      <c r="AE32" s="179"/>
      <c r="AF32" s="179"/>
      <c r="AG32" s="179"/>
      <c r="AH32" s="179"/>
      <c r="AI32" s="179"/>
      <c r="AJ32" s="179"/>
      <c r="AK32" s="179"/>
      <c r="AL32" s="179"/>
      <c r="AM32" s="179"/>
      <c r="AN32" s="392">
        <v>8.4</v>
      </c>
      <c r="AO32" s="179"/>
      <c r="AP32" s="179"/>
      <c r="AQ32" s="179"/>
      <c r="AR32" s="179"/>
      <c r="AS32" s="179"/>
      <c r="AT32" s="179"/>
      <c r="AU32" s="179"/>
      <c r="AV32" s="179"/>
      <c r="AW32" s="179"/>
      <c r="AX32" s="179"/>
      <c r="AY32" s="179"/>
      <c r="AZ32" s="179"/>
      <c r="BA32" s="179"/>
      <c r="BB32" s="179"/>
      <c r="BC32" s="179"/>
      <c r="BD32" s="179"/>
      <c r="BE32" s="179"/>
      <c r="BF32" s="175"/>
      <c r="BG32" s="175"/>
      <c r="BH32" s="175"/>
      <c r="BI32" s="175"/>
      <c r="BJ32" s="175"/>
      <c r="BK32" s="175"/>
      <c r="BL32" s="175"/>
      <c r="BM32" s="175"/>
    </row>
    <row r="33" spans="1:65">
      <c r="B33" s="181" t="s">
        <v>833</v>
      </c>
      <c r="C33" s="151" t="s">
        <v>227</v>
      </c>
      <c r="D33" s="392"/>
      <c r="E33" s="179"/>
      <c r="F33" s="179"/>
      <c r="G33" s="179"/>
      <c r="H33" s="179"/>
      <c r="I33" s="179"/>
      <c r="J33" s="179"/>
      <c r="K33" s="179"/>
      <c r="L33" s="179"/>
      <c r="M33" s="179"/>
      <c r="N33" s="179"/>
      <c r="O33" s="179"/>
      <c r="P33" s="179"/>
      <c r="Q33" s="179"/>
      <c r="R33" s="179"/>
      <c r="S33" s="179"/>
      <c r="T33" s="179"/>
      <c r="U33" s="179"/>
      <c r="V33" s="392">
        <v>3.9</v>
      </c>
      <c r="W33" s="179"/>
      <c r="X33" s="179"/>
      <c r="Y33" s="392">
        <v>4.2</v>
      </c>
      <c r="Z33" s="179"/>
      <c r="AA33" s="179"/>
      <c r="AB33" s="392">
        <v>4.2</v>
      </c>
      <c r="AC33" s="179"/>
      <c r="AD33" s="179"/>
      <c r="AE33" s="179"/>
      <c r="AF33" s="179"/>
      <c r="AG33" s="179"/>
      <c r="AH33" s="179"/>
      <c r="AI33" s="179"/>
      <c r="AJ33" s="179"/>
      <c r="AK33" s="179"/>
      <c r="AL33" s="179"/>
      <c r="AM33" s="179"/>
      <c r="AN33" s="392">
        <v>3.98</v>
      </c>
      <c r="AO33" s="179"/>
      <c r="AP33" s="179"/>
      <c r="AQ33" s="179"/>
      <c r="AR33" s="179"/>
      <c r="AS33" s="179"/>
      <c r="AT33" s="179"/>
      <c r="AU33" s="179"/>
      <c r="AV33" s="179"/>
      <c r="AW33" s="179"/>
      <c r="AX33" s="179"/>
      <c r="AY33" s="179"/>
      <c r="AZ33" s="179"/>
      <c r="BA33" s="179"/>
      <c r="BB33" s="179"/>
      <c r="BC33" s="179"/>
      <c r="BD33" s="179"/>
      <c r="BE33" s="179"/>
      <c r="BF33" s="175"/>
      <c r="BG33" s="175"/>
      <c r="BH33" s="175"/>
      <c r="BI33" s="175"/>
      <c r="BJ33" s="175"/>
      <c r="BK33" s="175"/>
      <c r="BL33" s="175"/>
      <c r="BM33" s="175"/>
    </row>
    <row r="34" spans="1:65">
      <c r="B34" s="181" t="s">
        <v>832</v>
      </c>
      <c r="C34" s="151" t="s">
        <v>227</v>
      </c>
      <c r="D34" s="392"/>
      <c r="E34" s="179"/>
      <c r="F34" s="179"/>
      <c r="G34" s="179"/>
      <c r="H34" s="179"/>
      <c r="I34" s="179"/>
      <c r="J34" s="179"/>
      <c r="K34" s="179"/>
      <c r="L34" s="179"/>
      <c r="M34" s="179"/>
      <c r="N34" s="179"/>
      <c r="O34" s="179"/>
      <c r="P34" s="179"/>
      <c r="Q34" s="179"/>
      <c r="R34" s="179"/>
      <c r="S34" s="179"/>
      <c r="T34" s="179"/>
      <c r="U34" s="179"/>
      <c r="V34" s="392">
        <v>14</v>
      </c>
      <c r="W34" s="179"/>
      <c r="X34" s="179"/>
      <c r="Y34" s="392">
        <v>12.8</v>
      </c>
      <c r="Z34" s="179"/>
      <c r="AA34" s="179"/>
      <c r="AB34" s="392">
        <v>12.8</v>
      </c>
      <c r="AC34" s="179"/>
      <c r="AD34" s="179"/>
      <c r="AE34" s="179"/>
      <c r="AF34" s="179"/>
      <c r="AG34" s="179"/>
      <c r="AH34" s="179"/>
      <c r="AI34" s="179"/>
      <c r="AJ34" s="179"/>
      <c r="AK34" s="179"/>
      <c r="AL34" s="179"/>
      <c r="AM34" s="179"/>
      <c r="AN34" s="392">
        <v>12.96</v>
      </c>
      <c r="AO34" s="179"/>
      <c r="AP34" s="179"/>
      <c r="AQ34" s="179"/>
      <c r="AR34" s="179"/>
      <c r="AS34" s="179"/>
      <c r="AT34" s="179"/>
      <c r="AU34" s="179"/>
      <c r="AV34" s="179"/>
      <c r="AW34" s="179"/>
      <c r="AX34" s="179"/>
      <c r="AY34" s="179"/>
      <c r="AZ34" s="179"/>
      <c r="BA34" s="179"/>
      <c r="BB34" s="179"/>
      <c r="BC34" s="179"/>
      <c r="BD34" s="179"/>
      <c r="BE34" s="179"/>
      <c r="BF34" s="175"/>
      <c r="BG34" s="175"/>
      <c r="BH34" s="175"/>
      <c r="BI34" s="175"/>
      <c r="BJ34" s="175"/>
      <c r="BK34" s="175"/>
      <c r="BL34" s="175"/>
      <c r="BM34" s="175"/>
    </row>
    <row r="35" spans="1:65">
      <c r="A35" s="187"/>
      <c r="B35" s="181" t="s">
        <v>330</v>
      </c>
      <c r="C35" s="151" t="s">
        <v>243</v>
      </c>
      <c r="D35" s="392"/>
      <c r="E35" s="392">
        <v>7.9</v>
      </c>
      <c r="F35" s="392">
        <v>18</v>
      </c>
      <c r="G35" s="392">
        <f>F35</f>
        <v>18</v>
      </c>
      <c r="H35" s="392">
        <v>17.3</v>
      </c>
      <c r="I35" s="392">
        <f>H35</f>
        <v>17.3</v>
      </c>
      <c r="J35" s="392"/>
      <c r="K35" s="392">
        <v>17.3</v>
      </c>
      <c r="L35" s="392">
        <f>K35</f>
        <v>17.3</v>
      </c>
      <c r="M35" s="392">
        <v>19.8</v>
      </c>
      <c r="N35" s="392">
        <f>M35</f>
        <v>19.8</v>
      </c>
      <c r="O35" s="392">
        <f>N35</f>
        <v>19.8</v>
      </c>
      <c r="P35" s="392">
        <v>20.5</v>
      </c>
      <c r="Q35" s="392">
        <f>P35</f>
        <v>20.5</v>
      </c>
      <c r="R35" s="392">
        <v>20.399999999999999</v>
      </c>
      <c r="S35" s="392">
        <f t="shared" ref="S35:U35" si="69">$R35</f>
        <v>20.399999999999999</v>
      </c>
      <c r="T35" s="392">
        <f t="shared" si="69"/>
        <v>20.399999999999999</v>
      </c>
      <c r="U35" s="392">
        <f t="shared" si="69"/>
        <v>20.399999999999999</v>
      </c>
      <c r="V35" s="392">
        <v>70</v>
      </c>
      <c r="W35" s="392">
        <f>V35</f>
        <v>70</v>
      </c>
      <c r="X35" s="392">
        <f>W35</f>
        <v>70</v>
      </c>
      <c r="Y35" s="392">
        <v>70</v>
      </c>
      <c r="Z35" s="392">
        <f>Y35</f>
        <v>70</v>
      </c>
      <c r="AA35" s="392">
        <f>Z35</f>
        <v>70</v>
      </c>
      <c r="AB35" s="392">
        <v>75</v>
      </c>
      <c r="AC35" s="392">
        <f>AB35</f>
        <v>75</v>
      </c>
      <c r="AD35" s="392">
        <f t="shared" ref="AD35:AE35" si="70">AC35</f>
        <v>75</v>
      </c>
      <c r="AE35" s="392">
        <f t="shared" si="70"/>
        <v>75</v>
      </c>
      <c r="AF35" s="392">
        <v>75</v>
      </c>
      <c r="AG35" s="392">
        <f>AF35</f>
        <v>75</v>
      </c>
      <c r="AH35" s="392">
        <f t="shared" ref="AH35:AI35" si="71">AG35</f>
        <v>75</v>
      </c>
      <c r="AI35" s="392">
        <f t="shared" si="71"/>
        <v>75</v>
      </c>
      <c r="AJ35" s="392">
        <v>80</v>
      </c>
      <c r="AK35" s="392">
        <f>AJ35</f>
        <v>80</v>
      </c>
      <c r="AL35" s="392">
        <f t="shared" ref="AL35:AM35" si="72">AK35</f>
        <v>80</v>
      </c>
      <c r="AM35" s="392">
        <f t="shared" si="72"/>
        <v>80</v>
      </c>
      <c r="AN35" s="392">
        <v>90</v>
      </c>
      <c r="AO35" s="392">
        <f>AN35</f>
        <v>90</v>
      </c>
      <c r="AP35" s="392">
        <f t="shared" ref="AP35:AR35" si="73">AO35</f>
        <v>90</v>
      </c>
      <c r="AQ35" s="392">
        <f t="shared" si="73"/>
        <v>90</v>
      </c>
      <c r="AR35" s="392">
        <f t="shared" si="73"/>
        <v>90</v>
      </c>
      <c r="AS35" s="179"/>
      <c r="AT35" s="179"/>
      <c r="AU35" s="179"/>
      <c r="AV35" s="179"/>
      <c r="AW35" s="179"/>
      <c r="AX35" s="392">
        <v>85</v>
      </c>
      <c r="AY35" s="392">
        <v>90</v>
      </c>
      <c r="AZ35" s="392">
        <f>AY35</f>
        <v>90</v>
      </c>
      <c r="BA35" s="392">
        <f t="shared" ref="BA35:BB35" si="74">AZ35</f>
        <v>90</v>
      </c>
      <c r="BB35" s="392">
        <f t="shared" si="74"/>
        <v>90</v>
      </c>
      <c r="BC35" s="392">
        <v>90</v>
      </c>
      <c r="BD35" s="392">
        <f>BC35</f>
        <v>90</v>
      </c>
      <c r="BE35" s="179"/>
      <c r="BF35" s="175"/>
      <c r="BG35" s="175"/>
      <c r="BH35" s="175"/>
      <c r="BI35" s="175"/>
      <c r="BJ35" s="175"/>
      <c r="BK35" s="175"/>
      <c r="BL35" s="175"/>
      <c r="BM35" s="175"/>
    </row>
    <row r="36" spans="1:65" ht="13">
      <c r="B36" s="397" t="s">
        <v>860</v>
      </c>
    </row>
    <row r="37" spans="1:65">
      <c r="A37" s="187"/>
      <c r="B37" s="181" t="s">
        <v>861</v>
      </c>
      <c r="C37" s="151" t="s">
        <v>353</v>
      </c>
      <c r="D37" s="392"/>
      <c r="E37" s="186">
        <v>0.1</v>
      </c>
      <c r="F37" s="186">
        <v>0.2</v>
      </c>
      <c r="G37" s="186">
        <v>0.3</v>
      </c>
      <c r="H37" s="186">
        <v>0.4</v>
      </c>
      <c r="I37" s="186">
        <v>0.5</v>
      </c>
      <c r="J37" s="186">
        <v>0.1</v>
      </c>
      <c r="K37" s="186">
        <v>0.2</v>
      </c>
      <c r="L37" s="186">
        <v>0.3</v>
      </c>
      <c r="M37" s="186">
        <v>0.4</v>
      </c>
      <c r="N37" s="186">
        <v>0.4</v>
      </c>
      <c r="O37" s="186">
        <v>0.4</v>
      </c>
      <c r="P37" s="392">
        <v>0.05</v>
      </c>
      <c r="Q37" s="392">
        <f>P37</f>
        <v>0.05</v>
      </c>
      <c r="R37" s="186">
        <v>0.3</v>
      </c>
      <c r="S37" s="186">
        <v>0.4</v>
      </c>
      <c r="T37" s="186">
        <v>0.4</v>
      </c>
      <c r="U37" s="186">
        <v>0.4</v>
      </c>
      <c r="V37" s="392">
        <v>0.6</v>
      </c>
      <c r="W37" s="392">
        <f>V37</f>
        <v>0.6</v>
      </c>
      <c r="X37" s="392">
        <f>W37</f>
        <v>0.6</v>
      </c>
      <c r="Y37" s="392">
        <v>0.7</v>
      </c>
      <c r="Z37" s="392">
        <f>Y37</f>
        <v>0.7</v>
      </c>
      <c r="AA37" s="392">
        <f>Z37</f>
        <v>0.7</v>
      </c>
      <c r="AB37" s="392">
        <v>0.8</v>
      </c>
      <c r="AC37" s="392">
        <f>AB37</f>
        <v>0.8</v>
      </c>
      <c r="AD37" s="392">
        <f t="shared" ref="AD37:AE37" si="75">AC37</f>
        <v>0.8</v>
      </c>
      <c r="AE37" s="392">
        <f t="shared" si="75"/>
        <v>0.8</v>
      </c>
      <c r="AF37" s="392">
        <v>0.8</v>
      </c>
      <c r="AG37" s="392">
        <f>AF37</f>
        <v>0.8</v>
      </c>
      <c r="AH37" s="392">
        <f t="shared" ref="AH37:AI37" si="76">AG37</f>
        <v>0.8</v>
      </c>
      <c r="AI37" s="392">
        <f t="shared" si="76"/>
        <v>0.8</v>
      </c>
      <c r="AJ37" s="392">
        <v>0.9</v>
      </c>
      <c r="AK37" s="392">
        <f>AJ37</f>
        <v>0.9</v>
      </c>
      <c r="AL37" s="392">
        <f t="shared" ref="AL37:AM37" si="77">AK37</f>
        <v>0.9</v>
      </c>
      <c r="AM37" s="392">
        <f t="shared" si="77"/>
        <v>0.9</v>
      </c>
      <c r="AN37" s="392">
        <v>1</v>
      </c>
      <c r="AO37" s="392">
        <f>AN37</f>
        <v>1</v>
      </c>
      <c r="AP37" s="392">
        <f t="shared" ref="AP37:AR37" si="78">AO37</f>
        <v>1</v>
      </c>
      <c r="AQ37" s="392">
        <f t="shared" si="78"/>
        <v>1</v>
      </c>
      <c r="AR37" s="392">
        <f t="shared" si="78"/>
        <v>1</v>
      </c>
      <c r="AS37" s="186">
        <v>1</v>
      </c>
      <c r="AT37" s="186">
        <v>1</v>
      </c>
      <c r="AU37" s="186">
        <v>1</v>
      </c>
      <c r="AV37" s="186">
        <v>1</v>
      </c>
      <c r="AW37" s="186">
        <v>1.1000000000000001</v>
      </c>
      <c r="AX37" s="392">
        <v>1.1000000000000001</v>
      </c>
      <c r="AY37" s="392">
        <v>1.5</v>
      </c>
      <c r="AZ37" s="392">
        <f>AY37</f>
        <v>1.5</v>
      </c>
      <c r="BA37" s="392">
        <f t="shared" ref="BA37:BB37" si="79">AZ37</f>
        <v>1.5</v>
      </c>
      <c r="BB37" s="392">
        <f t="shared" si="79"/>
        <v>1.5</v>
      </c>
      <c r="BC37" s="392">
        <v>1.5</v>
      </c>
      <c r="BD37" s="392">
        <f>BC37</f>
        <v>1.5</v>
      </c>
      <c r="BE37" s="179"/>
      <c r="BF37" s="175"/>
      <c r="BG37" s="175"/>
      <c r="BH37" s="175"/>
      <c r="BI37" s="175"/>
      <c r="BJ37" s="175"/>
      <c r="BK37" s="175"/>
      <c r="BL37" s="175"/>
      <c r="BM37" s="175"/>
    </row>
    <row r="38" spans="1:65" ht="13">
      <c r="B38" s="397" t="s">
        <v>862</v>
      </c>
    </row>
    <row r="39" spans="1:65">
      <c r="A39" s="187"/>
      <c r="B39" s="181" t="s">
        <v>846</v>
      </c>
      <c r="C39" s="151" t="s">
        <v>227</v>
      </c>
      <c r="D39" s="392"/>
      <c r="E39" s="186">
        <v>3</v>
      </c>
      <c r="F39" s="186">
        <v>3</v>
      </c>
      <c r="G39" s="186">
        <v>3</v>
      </c>
      <c r="H39" s="186">
        <v>4</v>
      </c>
      <c r="I39" s="186">
        <v>5</v>
      </c>
      <c r="J39" s="186">
        <v>3</v>
      </c>
      <c r="K39" s="186">
        <v>3</v>
      </c>
      <c r="L39" s="186">
        <v>4</v>
      </c>
      <c r="M39" s="186">
        <v>5</v>
      </c>
      <c r="N39" s="186">
        <v>5</v>
      </c>
      <c r="O39" s="186">
        <v>6</v>
      </c>
      <c r="P39" s="392">
        <v>10</v>
      </c>
      <c r="Q39" s="392">
        <v>10</v>
      </c>
      <c r="R39" s="186">
        <v>3</v>
      </c>
      <c r="S39" s="186">
        <v>3</v>
      </c>
      <c r="T39" s="186">
        <v>3</v>
      </c>
      <c r="U39" s="186">
        <v>3</v>
      </c>
      <c r="V39" s="392">
        <v>15</v>
      </c>
      <c r="W39" s="392">
        <f t="shared" ref="W39:BD39" si="80">V39</f>
        <v>15</v>
      </c>
      <c r="X39" s="392">
        <f t="shared" si="80"/>
        <v>15</v>
      </c>
      <c r="Y39" s="392">
        <f t="shared" si="80"/>
        <v>15</v>
      </c>
      <c r="Z39" s="392">
        <f t="shared" si="80"/>
        <v>15</v>
      </c>
      <c r="AA39" s="392">
        <f t="shared" si="80"/>
        <v>15</v>
      </c>
      <c r="AB39" s="392">
        <v>17</v>
      </c>
      <c r="AC39" s="392">
        <f t="shared" si="80"/>
        <v>17</v>
      </c>
      <c r="AD39" s="392">
        <f t="shared" si="80"/>
        <v>17</v>
      </c>
      <c r="AE39" s="392">
        <f t="shared" si="80"/>
        <v>17</v>
      </c>
      <c r="AF39" s="392">
        <f t="shared" si="80"/>
        <v>17</v>
      </c>
      <c r="AG39" s="392">
        <f t="shared" si="80"/>
        <v>17</v>
      </c>
      <c r="AH39" s="392">
        <f t="shared" si="80"/>
        <v>17</v>
      </c>
      <c r="AI39" s="392">
        <f t="shared" si="80"/>
        <v>17</v>
      </c>
      <c r="AJ39" s="392">
        <v>18</v>
      </c>
      <c r="AK39" s="392">
        <f t="shared" si="80"/>
        <v>18</v>
      </c>
      <c r="AL39" s="392">
        <f t="shared" si="80"/>
        <v>18</v>
      </c>
      <c r="AM39" s="392">
        <f t="shared" si="80"/>
        <v>18</v>
      </c>
      <c r="AN39" s="392">
        <v>20</v>
      </c>
      <c r="AO39" s="392">
        <f t="shared" si="80"/>
        <v>20</v>
      </c>
      <c r="AP39" s="392">
        <f t="shared" si="80"/>
        <v>20</v>
      </c>
      <c r="AQ39" s="392">
        <f t="shared" si="80"/>
        <v>20</v>
      </c>
      <c r="AR39" s="392">
        <f t="shared" si="80"/>
        <v>20</v>
      </c>
      <c r="AS39" s="179">
        <v>22</v>
      </c>
      <c r="AT39" s="179">
        <v>22</v>
      </c>
      <c r="AU39" s="179">
        <v>22</v>
      </c>
      <c r="AV39" s="179">
        <v>22</v>
      </c>
      <c r="AW39" s="179">
        <v>22</v>
      </c>
      <c r="AX39" s="392">
        <v>22</v>
      </c>
      <c r="AY39" s="392">
        <v>25</v>
      </c>
      <c r="AZ39" s="392">
        <f t="shared" si="80"/>
        <v>25</v>
      </c>
      <c r="BA39" s="392">
        <f t="shared" si="80"/>
        <v>25</v>
      </c>
      <c r="BB39" s="392">
        <f t="shared" si="80"/>
        <v>25</v>
      </c>
      <c r="BC39" s="392">
        <f t="shared" si="80"/>
        <v>25</v>
      </c>
      <c r="BD39" s="392">
        <f t="shared" si="80"/>
        <v>25</v>
      </c>
      <c r="BE39" s="179">
        <v>28</v>
      </c>
      <c r="BF39" s="175"/>
      <c r="BG39" s="175"/>
      <c r="BH39" s="175"/>
      <c r="BI39" s="175"/>
      <c r="BJ39" s="175"/>
      <c r="BK39" s="175"/>
      <c r="BL39" s="175"/>
      <c r="BM39" s="175"/>
    </row>
    <row r="40" spans="1:65" ht="13">
      <c r="B40" s="181" t="s">
        <v>415</v>
      </c>
      <c r="C40" s="151" t="s">
        <v>203</v>
      </c>
      <c r="D40" s="188">
        <f t="shared" ref="D40:P40" si="81">PI()*D39^2/4</f>
        <v>0</v>
      </c>
      <c r="E40" s="188">
        <f t="shared" si="81"/>
        <v>7.0685834705770345</v>
      </c>
      <c r="F40" s="188">
        <f t="shared" si="81"/>
        <v>7.0685834705770345</v>
      </c>
      <c r="G40" s="188">
        <f t="shared" si="81"/>
        <v>7.0685834705770345</v>
      </c>
      <c r="H40" s="188">
        <f t="shared" si="81"/>
        <v>12.566370614359172</v>
      </c>
      <c r="I40" s="188">
        <f t="shared" si="81"/>
        <v>19.634954084936208</v>
      </c>
      <c r="J40" s="188">
        <f t="shared" si="81"/>
        <v>7.0685834705770345</v>
      </c>
      <c r="K40" s="188">
        <f t="shared" si="81"/>
        <v>7.0685834705770345</v>
      </c>
      <c r="L40" s="188">
        <f t="shared" si="81"/>
        <v>12.566370614359172</v>
      </c>
      <c r="M40" s="188">
        <f t="shared" si="81"/>
        <v>19.634954084936208</v>
      </c>
      <c r="N40" s="188">
        <f t="shared" si="81"/>
        <v>19.634954084936208</v>
      </c>
      <c r="O40" s="188">
        <f t="shared" si="81"/>
        <v>28.274333882308138</v>
      </c>
      <c r="P40" s="188">
        <f t="shared" si="81"/>
        <v>78.539816339744831</v>
      </c>
      <c r="Q40" s="188">
        <f t="shared" ref="Q40:BM40" si="82">PI()*Q39^2/4</f>
        <v>78.539816339744831</v>
      </c>
      <c r="R40" s="188">
        <f t="shared" si="82"/>
        <v>7.0685834705770345</v>
      </c>
      <c r="S40" s="188">
        <f t="shared" si="82"/>
        <v>7.0685834705770345</v>
      </c>
      <c r="T40" s="188">
        <f t="shared" si="82"/>
        <v>7.0685834705770345</v>
      </c>
      <c r="U40" s="188">
        <f t="shared" si="82"/>
        <v>7.0685834705770345</v>
      </c>
      <c r="V40" s="188">
        <f t="shared" si="82"/>
        <v>176.71458676442586</v>
      </c>
      <c r="W40" s="188">
        <f t="shared" si="82"/>
        <v>176.71458676442586</v>
      </c>
      <c r="X40" s="188">
        <f t="shared" si="82"/>
        <v>176.71458676442586</v>
      </c>
      <c r="Y40" s="188">
        <f t="shared" si="82"/>
        <v>176.71458676442586</v>
      </c>
      <c r="Z40" s="188">
        <f t="shared" si="82"/>
        <v>176.71458676442586</v>
      </c>
      <c r="AA40" s="188">
        <f t="shared" si="82"/>
        <v>176.71458676442586</v>
      </c>
      <c r="AB40" s="188">
        <f t="shared" si="82"/>
        <v>226.98006922186255</v>
      </c>
      <c r="AC40" s="188">
        <f t="shared" si="82"/>
        <v>226.98006922186255</v>
      </c>
      <c r="AD40" s="188">
        <f t="shared" si="82"/>
        <v>226.98006922186255</v>
      </c>
      <c r="AE40" s="188">
        <f t="shared" si="82"/>
        <v>226.98006922186255</v>
      </c>
      <c r="AF40" s="188">
        <f t="shared" si="82"/>
        <v>226.98006922186255</v>
      </c>
      <c r="AG40" s="188">
        <f t="shared" si="82"/>
        <v>226.98006922186255</v>
      </c>
      <c r="AH40" s="188">
        <f t="shared" si="82"/>
        <v>226.98006922186255</v>
      </c>
      <c r="AI40" s="188">
        <f t="shared" si="82"/>
        <v>226.98006922186255</v>
      </c>
      <c r="AJ40" s="188">
        <f t="shared" si="82"/>
        <v>254.46900494077323</v>
      </c>
      <c r="AK40" s="188">
        <f t="shared" si="82"/>
        <v>254.46900494077323</v>
      </c>
      <c r="AL40" s="188">
        <f t="shared" si="82"/>
        <v>254.46900494077323</v>
      </c>
      <c r="AM40" s="188">
        <f t="shared" si="82"/>
        <v>254.46900494077323</v>
      </c>
      <c r="AN40" s="188">
        <f t="shared" si="82"/>
        <v>314.15926535897933</v>
      </c>
      <c r="AO40" s="188">
        <f t="shared" si="82"/>
        <v>314.15926535897933</v>
      </c>
      <c r="AP40" s="188">
        <f t="shared" si="82"/>
        <v>314.15926535897933</v>
      </c>
      <c r="AQ40" s="188">
        <f t="shared" si="82"/>
        <v>314.15926535897933</v>
      </c>
      <c r="AR40" s="188">
        <f t="shared" si="82"/>
        <v>314.15926535897933</v>
      </c>
      <c r="AS40" s="188">
        <f t="shared" si="82"/>
        <v>380.13271108436498</v>
      </c>
      <c r="AT40" s="188">
        <f t="shared" si="82"/>
        <v>380.13271108436498</v>
      </c>
      <c r="AU40" s="188">
        <f t="shared" si="82"/>
        <v>380.13271108436498</v>
      </c>
      <c r="AV40" s="188">
        <f t="shared" si="82"/>
        <v>380.13271108436498</v>
      </c>
      <c r="AW40" s="188">
        <f t="shared" si="82"/>
        <v>380.13271108436498</v>
      </c>
      <c r="AX40" s="188">
        <f t="shared" si="82"/>
        <v>380.13271108436498</v>
      </c>
      <c r="AY40" s="188">
        <f t="shared" si="82"/>
        <v>490.87385212340519</v>
      </c>
      <c r="AZ40" s="188">
        <f t="shared" si="82"/>
        <v>490.87385212340519</v>
      </c>
      <c r="BA40" s="188">
        <f t="shared" si="82"/>
        <v>490.87385212340519</v>
      </c>
      <c r="BB40" s="188">
        <f t="shared" si="82"/>
        <v>490.87385212340519</v>
      </c>
      <c r="BC40" s="188">
        <f t="shared" si="82"/>
        <v>490.87385212340519</v>
      </c>
      <c r="BD40" s="188">
        <f t="shared" si="82"/>
        <v>490.87385212340519</v>
      </c>
      <c r="BE40" s="188">
        <f t="shared" si="82"/>
        <v>615.75216010359941</v>
      </c>
      <c r="BF40" s="188">
        <f t="shared" si="82"/>
        <v>0</v>
      </c>
      <c r="BG40" s="188">
        <f t="shared" si="82"/>
        <v>0</v>
      </c>
      <c r="BH40" s="188">
        <f t="shared" si="82"/>
        <v>0</v>
      </c>
      <c r="BI40" s="188">
        <f t="shared" si="82"/>
        <v>0</v>
      </c>
      <c r="BJ40" s="188">
        <f t="shared" si="82"/>
        <v>0</v>
      </c>
      <c r="BK40" s="188">
        <f t="shared" si="82"/>
        <v>0</v>
      </c>
      <c r="BL40" s="188">
        <f t="shared" si="82"/>
        <v>0</v>
      </c>
      <c r="BM40" s="188">
        <f t="shared" si="82"/>
        <v>0</v>
      </c>
    </row>
    <row r="41" spans="1:65">
      <c r="A41" s="187"/>
      <c r="B41" s="181" t="s">
        <v>863</v>
      </c>
      <c r="C41" s="151" t="s">
        <v>227</v>
      </c>
      <c r="D41" s="392"/>
      <c r="E41" s="186">
        <v>1.5</v>
      </c>
      <c r="F41" s="186">
        <v>1.5</v>
      </c>
      <c r="G41" s="186">
        <v>1.5</v>
      </c>
      <c r="H41" s="186">
        <v>1.5</v>
      </c>
      <c r="I41" s="186">
        <v>1.5</v>
      </c>
      <c r="J41" s="186">
        <v>1.5</v>
      </c>
      <c r="K41" s="186">
        <v>1.5</v>
      </c>
      <c r="L41" s="186">
        <v>1.5</v>
      </c>
      <c r="M41" s="186">
        <v>1.5</v>
      </c>
      <c r="N41" s="186">
        <v>1.5</v>
      </c>
      <c r="O41" s="186">
        <v>1.5</v>
      </c>
      <c r="P41" s="392">
        <v>2</v>
      </c>
      <c r="Q41" s="392">
        <v>2</v>
      </c>
      <c r="R41" s="392">
        <v>2.1</v>
      </c>
      <c r="S41" s="392">
        <v>2.1</v>
      </c>
      <c r="T41" s="392">
        <v>2.1</v>
      </c>
      <c r="U41" s="392">
        <v>2.1</v>
      </c>
      <c r="V41" s="392">
        <v>3</v>
      </c>
      <c r="W41" s="392">
        <f>V41</f>
        <v>3</v>
      </c>
      <c r="X41" s="392">
        <f t="shared" ref="X41:BD41" si="83">W41</f>
        <v>3</v>
      </c>
      <c r="Y41" s="392">
        <f t="shared" si="83"/>
        <v>3</v>
      </c>
      <c r="Z41" s="392">
        <f t="shared" si="83"/>
        <v>3</v>
      </c>
      <c r="AA41" s="392">
        <f t="shared" si="83"/>
        <v>3</v>
      </c>
      <c r="AB41" s="392">
        <v>3.5</v>
      </c>
      <c r="AC41" s="392">
        <f t="shared" si="83"/>
        <v>3.5</v>
      </c>
      <c r="AD41" s="392">
        <f t="shared" si="83"/>
        <v>3.5</v>
      </c>
      <c r="AE41" s="392">
        <f t="shared" si="83"/>
        <v>3.5</v>
      </c>
      <c r="AF41" s="392">
        <f t="shared" si="83"/>
        <v>3.5</v>
      </c>
      <c r="AG41" s="392">
        <f t="shared" si="83"/>
        <v>3.5</v>
      </c>
      <c r="AH41" s="392">
        <f t="shared" si="83"/>
        <v>3.5</v>
      </c>
      <c r="AI41" s="392">
        <f t="shared" si="83"/>
        <v>3.5</v>
      </c>
      <c r="AJ41" s="392">
        <f t="shared" si="83"/>
        <v>3.5</v>
      </c>
      <c r="AK41" s="392">
        <f t="shared" si="83"/>
        <v>3.5</v>
      </c>
      <c r="AL41" s="392">
        <f t="shared" si="83"/>
        <v>3.5</v>
      </c>
      <c r="AM41" s="392">
        <f t="shared" si="83"/>
        <v>3.5</v>
      </c>
      <c r="AN41" s="392">
        <v>4</v>
      </c>
      <c r="AO41" s="392">
        <f t="shared" si="83"/>
        <v>4</v>
      </c>
      <c r="AP41" s="392">
        <f t="shared" si="83"/>
        <v>4</v>
      </c>
      <c r="AQ41" s="392">
        <f t="shared" si="83"/>
        <v>4</v>
      </c>
      <c r="AR41" s="392">
        <f t="shared" si="83"/>
        <v>4</v>
      </c>
      <c r="AS41" s="186">
        <v>5</v>
      </c>
      <c r="AT41" s="186">
        <v>5</v>
      </c>
      <c r="AU41" s="186">
        <v>5</v>
      </c>
      <c r="AV41" s="186">
        <v>5</v>
      </c>
      <c r="AW41" s="186">
        <v>5</v>
      </c>
      <c r="AX41" s="392">
        <f>AR41</f>
        <v>4</v>
      </c>
      <c r="AY41" s="392">
        <v>4.5</v>
      </c>
      <c r="AZ41" s="392">
        <f t="shared" si="83"/>
        <v>4.5</v>
      </c>
      <c r="BA41" s="392">
        <f t="shared" si="83"/>
        <v>4.5</v>
      </c>
      <c r="BB41" s="392">
        <f t="shared" si="83"/>
        <v>4.5</v>
      </c>
      <c r="BC41" s="392">
        <f t="shared" si="83"/>
        <v>4.5</v>
      </c>
      <c r="BD41" s="392">
        <f t="shared" si="83"/>
        <v>4.5</v>
      </c>
      <c r="BE41" s="179">
        <v>4.5</v>
      </c>
      <c r="BF41" s="175"/>
      <c r="BG41" s="175"/>
      <c r="BH41" s="175"/>
      <c r="BI41" s="175"/>
      <c r="BJ41" s="175"/>
      <c r="BK41" s="175"/>
      <c r="BL41" s="175"/>
      <c r="BM41" s="175"/>
    </row>
    <row r="42" spans="1:65" ht="13">
      <c r="B42" s="181" t="s">
        <v>230</v>
      </c>
      <c r="C42" s="151" t="s">
        <v>231</v>
      </c>
      <c r="D42" s="189">
        <f t="shared" ref="D42:O42" si="84">D40*D41</f>
        <v>0</v>
      </c>
      <c r="E42" s="189">
        <f t="shared" si="84"/>
        <v>10.602875205865551</v>
      </c>
      <c r="F42" s="189">
        <f t="shared" si="84"/>
        <v>10.602875205865551</v>
      </c>
      <c r="G42" s="189">
        <f t="shared" si="84"/>
        <v>10.602875205865551</v>
      </c>
      <c r="H42" s="189">
        <f t="shared" si="84"/>
        <v>18.849555921538759</v>
      </c>
      <c r="I42" s="189">
        <f t="shared" si="84"/>
        <v>29.45243112740431</v>
      </c>
      <c r="J42" s="189">
        <f t="shared" si="84"/>
        <v>10.602875205865551</v>
      </c>
      <c r="K42" s="189">
        <f t="shared" si="84"/>
        <v>10.602875205865551</v>
      </c>
      <c r="L42" s="189">
        <f t="shared" si="84"/>
        <v>18.849555921538759</v>
      </c>
      <c r="M42" s="189">
        <f t="shared" si="84"/>
        <v>29.45243112740431</v>
      </c>
      <c r="N42" s="189">
        <f t="shared" si="84"/>
        <v>29.45243112740431</v>
      </c>
      <c r="O42" s="189">
        <f t="shared" si="84"/>
        <v>42.411500823462205</v>
      </c>
      <c r="P42" s="189">
        <f>P40*P41</f>
        <v>157.07963267948966</v>
      </c>
      <c r="Q42" s="189">
        <f t="shared" ref="Q42" si="85">Q40*Q41</f>
        <v>157.07963267948966</v>
      </c>
      <c r="R42" s="189">
        <f t="shared" ref="R42" si="86">R40*R41</f>
        <v>14.844025288211773</v>
      </c>
      <c r="S42" s="189">
        <f t="shared" ref="S42" si="87">S40*S41</f>
        <v>14.844025288211773</v>
      </c>
      <c r="T42" s="189">
        <f t="shared" ref="T42" si="88">T40*T41</f>
        <v>14.844025288211773</v>
      </c>
      <c r="U42" s="189">
        <f t="shared" ref="U42" si="89">U40*U41</f>
        <v>14.844025288211773</v>
      </c>
      <c r="V42" s="189">
        <f t="shared" ref="V42" si="90">V40*V41</f>
        <v>530.14376029327764</v>
      </c>
      <c r="W42" s="189">
        <f t="shared" ref="W42" si="91">W40*W41</f>
        <v>530.14376029327764</v>
      </c>
      <c r="X42" s="189">
        <f t="shared" ref="X42" si="92">X40*X41</f>
        <v>530.14376029327764</v>
      </c>
      <c r="Y42" s="189">
        <f t="shared" ref="Y42" si="93">Y40*Y41</f>
        <v>530.14376029327764</v>
      </c>
      <c r="Z42" s="189">
        <f t="shared" ref="Z42" si="94">Z40*Z41</f>
        <v>530.14376029327764</v>
      </c>
      <c r="AA42" s="189">
        <f t="shared" ref="AA42:AB42" si="95">AA40*AA41</f>
        <v>530.14376029327764</v>
      </c>
      <c r="AB42" s="189">
        <f t="shared" si="95"/>
        <v>794.43024227651892</v>
      </c>
      <c r="AC42" s="189">
        <f t="shared" ref="AC42" si="96">AC40*AC41</f>
        <v>794.43024227651892</v>
      </c>
      <c r="AD42" s="189">
        <f t="shared" ref="AD42" si="97">AD40*AD41</f>
        <v>794.43024227651892</v>
      </c>
      <c r="AE42" s="189">
        <f t="shared" ref="AE42" si="98">AE40*AE41</f>
        <v>794.43024227651892</v>
      </c>
      <c r="AF42" s="189">
        <f t="shared" ref="AF42" si="99">AF40*AF41</f>
        <v>794.43024227651892</v>
      </c>
      <c r="AG42" s="189">
        <f t="shared" ref="AG42" si="100">AG40*AG41</f>
        <v>794.43024227651892</v>
      </c>
      <c r="AH42" s="189">
        <f t="shared" ref="AH42" si="101">AH40*AH41</f>
        <v>794.43024227651892</v>
      </c>
      <c r="AI42" s="189">
        <f t="shared" ref="AI42" si="102">AI40*AI41</f>
        <v>794.43024227651892</v>
      </c>
      <c r="AJ42" s="189">
        <f t="shared" ref="AJ42" si="103">AJ40*AJ41</f>
        <v>890.64151729270634</v>
      </c>
      <c r="AK42" s="189">
        <f t="shared" ref="AK42" si="104">AK40*AK41</f>
        <v>890.64151729270634</v>
      </c>
      <c r="AL42" s="189">
        <f t="shared" ref="AL42" si="105">AL40*AL41</f>
        <v>890.64151729270634</v>
      </c>
      <c r="AM42" s="189">
        <f t="shared" ref="AM42:AN42" si="106">AM40*AM41</f>
        <v>890.64151729270634</v>
      </c>
      <c r="AN42" s="189">
        <f t="shared" si="106"/>
        <v>1256.6370614359173</v>
      </c>
      <c r="AO42" s="189">
        <f t="shared" ref="AO42" si="107">AO40*AO41</f>
        <v>1256.6370614359173</v>
      </c>
      <c r="AP42" s="189">
        <f t="shared" ref="AP42" si="108">AP40*AP41</f>
        <v>1256.6370614359173</v>
      </c>
      <c r="AQ42" s="189">
        <f t="shared" ref="AQ42" si="109">AQ40*AQ41</f>
        <v>1256.6370614359173</v>
      </c>
      <c r="AR42" s="189">
        <f t="shared" ref="AR42" si="110">AR40*AR41</f>
        <v>1256.6370614359173</v>
      </c>
      <c r="AS42" s="189">
        <f t="shared" ref="AS42" si="111">AS40*AS41</f>
        <v>1900.6635554218249</v>
      </c>
      <c r="AT42" s="189">
        <f t="shared" ref="AT42" si="112">AT40*AT41</f>
        <v>1900.6635554218249</v>
      </c>
      <c r="AU42" s="189">
        <f t="shared" ref="AU42" si="113">AU40*AU41</f>
        <v>1900.6635554218249</v>
      </c>
      <c r="AV42" s="189">
        <f t="shared" ref="AV42" si="114">AV40*AV41</f>
        <v>1900.6635554218249</v>
      </c>
      <c r="AW42" s="189">
        <f t="shared" ref="AW42" si="115">AW40*AW41</f>
        <v>1900.6635554218249</v>
      </c>
      <c r="AX42" s="189">
        <f t="shared" ref="AX42" si="116">AX40*AX41</f>
        <v>1520.5308443374599</v>
      </c>
      <c r="AY42" s="189">
        <f t="shared" ref="AY42:AZ42" si="117">AY40*AY41</f>
        <v>2208.9323345553235</v>
      </c>
      <c r="AZ42" s="189">
        <f t="shared" si="117"/>
        <v>2208.9323345553235</v>
      </c>
      <c r="BA42" s="189">
        <f t="shared" ref="BA42" si="118">BA40*BA41</f>
        <v>2208.9323345553235</v>
      </c>
      <c r="BB42" s="189">
        <f t="shared" ref="BB42" si="119">BB40*BB41</f>
        <v>2208.9323345553235</v>
      </c>
      <c r="BC42" s="189">
        <f t="shared" ref="BC42" si="120">BC40*BC41</f>
        <v>2208.9323345553235</v>
      </c>
      <c r="BD42" s="189">
        <f t="shared" ref="BD42" si="121">BD40*BD41</f>
        <v>2208.9323345553235</v>
      </c>
      <c r="BE42" s="189">
        <f t="shared" ref="BE42" si="122">BE40*BE41</f>
        <v>2770.8847204661975</v>
      </c>
      <c r="BF42" s="189">
        <f>BF40*BF41</f>
        <v>0</v>
      </c>
      <c r="BG42" s="189">
        <f t="shared" ref="BG42" si="123">BG40*BG41</f>
        <v>0</v>
      </c>
      <c r="BH42" s="189">
        <f t="shared" ref="BH42" si="124">BH40*BH41</f>
        <v>0</v>
      </c>
      <c r="BI42" s="189">
        <f t="shared" ref="BI42" si="125">BI40*BI41</f>
        <v>0</v>
      </c>
      <c r="BJ42" s="189">
        <f t="shared" ref="BJ42" si="126">BJ40*BJ41</f>
        <v>0</v>
      </c>
      <c r="BK42" s="189">
        <f t="shared" ref="BK42:BL42" si="127">BK40*BK41</f>
        <v>0</v>
      </c>
      <c r="BL42" s="189">
        <f t="shared" si="127"/>
        <v>0</v>
      </c>
      <c r="BM42" s="189">
        <f t="shared" ref="BM42" si="128">BM40*BM41</f>
        <v>0</v>
      </c>
    </row>
    <row r="43" spans="1:65" ht="13">
      <c r="B43" s="181" t="s">
        <v>330</v>
      </c>
      <c r="C43" s="151" t="s">
        <v>243</v>
      </c>
      <c r="D43" s="189">
        <f t="shared" ref="D43:AY43" si="129">D42*Concrete_density</f>
        <v>0</v>
      </c>
      <c r="E43" s="189">
        <f t="shared" si="129"/>
        <v>25.446900494077322</v>
      </c>
      <c r="F43" s="189">
        <f t="shared" si="129"/>
        <v>25.446900494077322</v>
      </c>
      <c r="G43" s="189">
        <f t="shared" si="129"/>
        <v>25.446900494077322</v>
      </c>
      <c r="H43" s="189">
        <f t="shared" si="129"/>
        <v>45.238934211693021</v>
      </c>
      <c r="I43" s="189">
        <f t="shared" si="129"/>
        <v>70.685834705770347</v>
      </c>
      <c r="J43" s="189">
        <f t="shared" si="129"/>
        <v>25.446900494077322</v>
      </c>
      <c r="K43" s="189">
        <f t="shared" si="129"/>
        <v>25.446900494077322</v>
      </c>
      <c r="L43" s="189">
        <f t="shared" si="129"/>
        <v>45.238934211693021</v>
      </c>
      <c r="M43" s="189">
        <f t="shared" si="129"/>
        <v>70.685834705770347</v>
      </c>
      <c r="N43" s="189">
        <f t="shared" si="129"/>
        <v>70.685834705770347</v>
      </c>
      <c r="O43" s="189">
        <f t="shared" si="129"/>
        <v>101.78760197630929</v>
      </c>
      <c r="P43" s="189">
        <f t="shared" si="129"/>
        <v>376.9911184307752</v>
      </c>
      <c r="Q43" s="189">
        <f t="shared" si="129"/>
        <v>376.9911184307752</v>
      </c>
      <c r="R43" s="189">
        <f t="shared" si="129"/>
        <v>35.625660691708255</v>
      </c>
      <c r="S43" s="189">
        <f t="shared" si="129"/>
        <v>35.625660691708255</v>
      </c>
      <c r="T43" s="189">
        <f t="shared" si="129"/>
        <v>35.625660691708255</v>
      </c>
      <c r="U43" s="189">
        <f t="shared" si="129"/>
        <v>35.625660691708255</v>
      </c>
      <c r="V43" s="189">
        <f t="shared" si="129"/>
        <v>1272.3450247038663</v>
      </c>
      <c r="W43" s="189">
        <f t="shared" si="129"/>
        <v>1272.3450247038663</v>
      </c>
      <c r="X43" s="189">
        <f t="shared" si="129"/>
        <v>1272.3450247038663</v>
      </c>
      <c r="Y43" s="189">
        <f t="shared" si="129"/>
        <v>1272.3450247038663</v>
      </c>
      <c r="Z43" s="189">
        <f t="shared" si="129"/>
        <v>1272.3450247038663</v>
      </c>
      <c r="AA43" s="189">
        <f t="shared" si="129"/>
        <v>1272.3450247038663</v>
      </c>
      <c r="AB43" s="189">
        <f t="shared" si="129"/>
        <v>1906.6325814636452</v>
      </c>
      <c r="AC43" s="189">
        <f t="shared" si="129"/>
        <v>1906.6325814636452</v>
      </c>
      <c r="AD43" s="189">
        <f t="shared" si="129"/>
        <v>1906.6325814636452</v>
      </c>
      <c r="AE43" s="189">
        <f t="shared" si="129"/>
        <v>1906.6325814636452</v>
      </c>
      <c r="AF43" s="189">
        <f t="shared" si="129"/>
        <v>1906.6325814636452</v>
      </c>
      <c r="AG43" s="189">
        <f t="shared" si="129"/>
        <v>1906.6325814636452</v>
      </c>
      <c r="AH43" s="189">
        <f t="shared" si="129"/>
        <v>1906.6325814636452</v>
      </c>
      <c r="AI43" s="189">
        <f t="shared" si="129"/>
        <v>1906.6325814636452</v>
      </c>
      <c r="AJ43" s="189">
        <f t="shared" si="129"/>
        <v>2137.5396415024952</v>
      </c>
      <c r="AK43" s="189">
        <f t="shared" si="129"/>
        <v>2137.5396415024952</v>
      </c>
      <c r="AL43" s="189">
        <f t="shared" si="129"/>
        <v>2137.5396415024952</v>
      </c>
      <c r="AM43" s="189">
        <f t="shared" si="129"/>
        <v>2137.5396415024952</v>
      </c>
      <c r="AN43" s="189">
        <f t="shared" si="129"/>
        <v>3015.9289474462016</v>
      </c>
      <c r="AO43" s="189">
        <f t="shared" si="129"/>
        <v>3015.9289474462016</v>
      </c>
      <c r="AP43" s="189">
        <f t="shared" si="129"/>
        <v>3015.9289474462016</v>
      </c>
      <c r="AQ43" s="189">
        <f t="shared" si="129"/>
        <v>3015.9289474462016</v>
      </c>
      <c r="AR43" s="189">
        <f t="shared" si="129"/>
        <v>3015.9289474462016</v>
      </c>
      <c r="AS43" s="189">
        <f t="shared" si="129"/>
        <v>4561.5925330123791</v>
      </c>
      <c r="AT43" s="189">
        <f t="shared" si="129"/>
        <v>4561.5925330123791</v>
      </c>
      <c r="AU43" s="189">
        <f t="shared" si="129"/>
        <v>4561.5925330123791</v>
      </c>
      <c r="AV43" s="189">
        <f t="shared" si="129"/>
        <v>4561.5925330123791</v>
      </c>
      <c r="AW43" s="189">
        <f t="shared" si="129"/>
        <v>4561.5925330123791</v>
      </c>
      <c r="AX43" s="189">
        <f t="shared" si="129"/>
        <v>3649.2740264099039</v>
      </c>
      <c r="AY43" s="189">
        <f t="shared" si="129"/>
        <v>5301.4376029327759</v>
      </c>
      <c r="AZ43" s="189">
        <f t="shared" ref="AZ43:BM43" si="130">AZ42*Concrete_density</f>
        <v>5301.4376029327759</v>
      </c>
      <c r="BA43" s="189">
        <f t="shared" si="130"/>
        <v>5301.4376029327759</v>
      </c>
      <c r="BB43" s="189">
        <f t="shared" si="130"/>
        <v>5301.4376029327759</v>
      </c>
      <c r="BC43" s="189">
        <f t="shared" si="130"/>
        <v>5301.4376029327759</v>
      </c>
      <c r="BD43" s="189">
        <f t="shared" si="130"/>
        <v>5301.4376029327759</v>
      </c>
      <c r="BE43" s="189">
        <f t="shared" si="130"/>
        <v>6650.1233291188737</v>
      </c>
      <c r="BF43" s="189">
        <f t="shared" si="130"/>
        <v>0</v>
      </c>
      <c r="BG43" s="189">
        <f t="shared" si="130"/>
        <v>0</v>
      </c>
      <c r="BH43" s="189">
        <f t="shared" si="130"/>
        <v>0</v>
      </c>
      <c r="BI43" s="189">
        <f t="shared" si="130"/>
        <v>0</v>
      </c>
      <c r="BJ43" s="189">
        <f t="shared" si="130"/>
        <v>0</v>
      </c>
      <c r="BK43" s="189">
        <f t="shared" si="130"/>
        <v>0</v>
      </c>
      <c r="BL43" s="189">
        <f t="shared" si="130"/>
        <v>0</v>
      </c>
      <c r="BM43" s="189">
        <f t="shared" si="130"/>
        <v>0</v>
      </c>
    </row>
    <row r="44" spans="1:65" ht="13">
      <c r="B44" s="181" t="s">
        <v>1071</v>
      </c>
      <c r="C44" s="151" t="s">
        <v>37</v>
      </c>
      <c r="D44" s="190">
        <f t="shared" ref="D44:AI44" si="131">Number_of_steel_bolts_per_m2_foundation_coefficient_1*D5+Number_of_steel_bolts_per_m2_foundation_coefficient_2</f>
        <v>4.25</v>
      </c>
      <c r="E44" s="190">
        <f t="shared" si="131"/>
        <v>4.9812500000000002</v>
      </c>
      <c r="F44" s="190">
        <f t="shared" si="131"/>
        <v>5.875</v>
      </c>
      <c r="G44" s="190">
        <f t="shared" si="131"/>
        <v>5.875</v>
      </c>
      <c r="H44" s="190">
        <f t="shared" si="131"/>
        <v>5.875</v>
      </c>
      <c r="I44" s="190">
        <f t="shared" si="131"/>
        <v>5.875</v>
      </c>
      <c r="J44" s="190">
        <f t="shared" si="131"/>
        <v>5.875</v>
      </c>
      <c r="K44" s="190">
        <f t="shared" si="131"/>
        <v>6.2</v>
      </c>
      <c r="L44" s="190">
        <f t="shared" si="131"/>
        <v>6.2</v>
      </c>
      <c r="M44" s="190">
        <f t="shared" si="131"/>
        <v>6.2</v>
      </c>
      <c r="N44" s="190">
        <f t="shared" si="131"/>
        <v>6.2</v>
      </c>
      <c r="O44" s="190">
        <f t="shared" si="131"/>
        <v>6.2</v>
      </c>
      <c r="P44" s="190">
        <f t="shared" si="131"/>
        <v>7.1750000000000007</v>
      </c>
      <c r="Q44" s="190">
        <f t="shared" si="131"/>
        <v>7.1750000000000007</v>
      </c>
      <c r="R44" s="190">
        <f t="shared" si="131"/>
        <v>6.3949999999999996</v>
      </c>
      <c r="S44" s="190">
        <f t="shared" si="131"/>
        <v>6.3949999999999996</v>
      </c>
      <c r="T44" s="190">
        <f t="shared" si="131"/>
        <v>6.3949999999999996</v>
      </c>
      <c r="U44" s="190">
        <f t="shared" si="131"/>
        <v>6.3949999999999996</v>
      </c>
      <c r="V44" s="190">
        <f t="shared" si="131"/>
        <v>14.975</v>
      </c>
      <c r="W44" s="190">
        <f t="shared" si="131"/>
        <v>14.975</v>
      </c>
      <c r="X44" s="190">
        <f t="shared" si="131"/>
        <v>14.975</v>
      </c>
      <c r="Y44" s="190">
        <f t="shared" si="131"/>
        <v>15.4625</v>
      </c>
      <c r="Z44" s="190">
        <f t="shared" si="131"/>
        <v>15.4625</v>
      </c>
      <c r="AA44" s="190">
        <f t="shared" si="131"/>
        <v>15.4625</v>
      </c>
      <c r="AB44" s="190">
        <f t="shared" si="131"/>
        <v>15.950000000000001</v>
      </c>
      <c r="AC44" s="190">
        <f t="shared" si="131"/>
        <v>15.950000000000001</v>
      </c>
      <c r="AD44" s="190">
        <f t="shared" si="131"/>
        <v>15.950000000000001</v>
      </c>
      <c r="AE44" s="190">
        <f t="shared" si="131"/>
        <v>15.950000000000001</v>
      </c>
      <c r="AF44" s="190">
        <f t="shared" si="131"/>
        <v>15.950000000000001</v>
      </c>
      <c r="AG44" s="190">
        <f t="shared" si="131"/>
        <v>15.950000000000001</v>
      </c>
      <c r="AH44" s="190">
        <f t="shared" si="131"/>
        <v>15.950000000000001</v>
      </c>
      <c r="AI44" s="190">
        <f t="shared" si="131"/>
        <v>15.950000000000001</v>
      </c>
      <c r="AJ44" s="190">
        <f t="shared" ref="AJ44:BM44" si="132">Number_of_steel_bolts_per_m2_foundation_coefficient_1*AJ5+Number_of_steel_bolts_per_m2_foundation_coefficient_2</f>
        <v>16.600000000000001</v>
      </c>
      <c r="AK44" s="190">
        <f t="shared" si="132"/>
        <v>16.600000000000001</v>
      </c>
      <c r="AL44" s="190">
        <f t="shared" si="132"/>
        <v>16.600000000000001</v>
      </c>
      <c r="AM44" s="190">
        <f t="shared" si="132"/>
        <v>16.600000000000001</v>
      </c>
      <c r="AN44" s="190">
        <f t="shared" si="132"/>
        <v>17.899999999999999</v>
      </c>
      <c r="AO44" s="190">
        <f t="shared" si="132"/>
        <v>17.899999999999999</v>
      </c>
      <c r="AP44" s="190">
        <f t="shared" si="132"/>
        <v>17.899999999999999</v>
      </c>
      <c r="AQ44" s="190">
        <f t="shared" si="132"/>
        <v>17.899999999999999</v>
      </c>
      <c r="AR44" s="190">
        <f t="shared" si="132"/>
        <v>17.899999999999999</v>
      </c>
      <c r="AS44" s="190">
        <f t="shared" si="132"/>
        <v>24.400000000000002</v>
      </c>
      <c r="AT44" s="190">
        <f t="shared" si="132"/>
        <v>24.400000000000002</v>
      </c>
      <c r="AU44" s="190">
        <f t="shared" si="132"/>
        <v>24.400000000000002</v>
      </c>
      <c r="AV44" s="190">
        <f t="shared" si="132"/>
        <v>24.400000000000002</v>
      </c>
      <c r="AW44" s="190">
        <f t="shared" si="132"/>
        <v>24.400000000000002</v>
      </c>
      <c r="AX44" s="190">
        <f t="shared" si="132"/>
        <v>18.875</v>
      </c>
      <c r="AY44" s="190">
        <f t="shared" si="132"/>
        <v>22.45</v>
      </c>
      <c r="AZ44" s="190">
        <f t="shared" si="132"/>
        <v>22.45</v>
      </c>
      <c r="BA44" s="190">
        <f t="shared" si="132"/>
        <v>22.45</v>
      </c>
      <c r="BB44" s="190">
        <f t="shared" si="132"/>
        <v>22.45</v>
      </c>
      <c r="BC44" s="190">
        <f t="shared" si="132"/>
        <v>22.775000000000002</v>
      </c>
      <c r="BD44" s="190">
        <f t="shared" si="132"/>
        <v>22.775000000000002</v>
      </c>
      <c r="BE44" s="190">
        <f t="shared" si="132"/>
        <v>30.25</v>
      </c>
      <c r="BF44" s="190">
        <f t="shared" si="132"/>
        <v>4.25</v>
      </c>
      <c r="BG44" s="190">
        <f t="shared" si="132"/>
        <v>4.25</v>
      </c>
      <c r="BH44" s="190">
        <f t="shared" si="132"/>
        <v>4.25</v>
      </c>
      <c r="BI44" s="190">
        <f t="shared" si="132"/>
        <v>4.25</v>
      </c>
      <c r="BJ44" s="190">
        <f t="shared" si="132"/>
        <v>4.25</v>
      </c>
      <c r="BK44" s="190">
        <f t="shared" si="132"/>
        <v>4.25</v>
      </c>
      <c r="BL44" s="190">
        <f t="shared" si="132"/>
        <v>4.25</v>
      </c>
      <c r="BM44" s="190">
        <f t="shared" si="132"/>
        <v>4.25</v>
      </c>
    </row>
    <row r="46" spans="1:65">
      <c r="A46" s="214">
        <v>1</v>
      </c>
      <c r="B46" s="159" t="s">
        <v>864</v>
      </c>
    </row>
    <row r="47" spans="1:65">
      <c r="A47" s="214">
        <v>2</v>
      </c>
      <c r="B47" s="159" t="s">
        <v>865</v>
      </c>
    </row>
    <row r="48" spans="1:65">
      <c r="A48" s="214">
        <v>3</v>
      </c>
      <c r="B48" s="159" t="s">
        <v>866</v>
      </c>
    </row>
    <row r="49" spans="1:3">
      <c r="A49" s="214">
        <v>4</v>
      </c>
      <c r="B49" s="159" t="s">
        <v>867</v>
      </c>
    </row>
    <row r="50" spans="1:3">
      <c r="A50" s="214">
        <v>5</v>
      </c>
      <c r="B50" s="159" t="s">
        <v>868</v>
      </c>
      <c r="C50" s="214" t="s">
        <v>869</v>
      </c>
    </row>
    <row r="51" spans="1:3">
      <c r="A51" s="214">
        <v>6</v>
      </c>
      <c r="B51" s="159" t="s">
        <v>870</v>
      </c>
    </row>
    <row r="52" spans="1:3">
      <c r="A52" s="214">
        <v>7</v>
      </c>
      <c r="B52" s="159" t="s">
        <v>871</v>
      </c>
      <c r="C52" s="214" t="s">
        <v>869</v>
      </c>
    </row>
    <row r="53" spans="1:3">
      <c r="A53" s="214">
        <v>8</v>
      </c>
      <c r="B53" s="159" t="s">
        <v>872</v>
      </c>
    </row>
    <row r="54" spans="1:3">
      <c r="A54" s="214">
        <v>9</v>
      </c>
      <c r="B54" s="159" t="s">
        <v>873</v>
      </c>
    </row>
    <row r="55" spans="1:3">
      <c r="A55" s="214">
        <v>10</v>
      </c>
      <c r="B55" s="159" t="s">
        <v>874</v>
      </c>
    </row>
  </sheetData>
  <sheetProtection algorithmName="SHA-512" hashValue="9GK9wz9unfHxDwutOnp4b1arHQOiDf39sSamt5GifF/auTB207+4GMSqUVyOFzYwbRE1BmKjg91Vewn1I9hCIw==" saltValue="juuCrqG7x96eDvxe/v7R/w==" spinCount="100000" sheet="1" objects="1" scenarios="1" autoFilter="0"/>
  <phoneticPr fontId="8" type="noConversion"/>
  <dataValidations count="1">
    <dataValidation type="custom" allowBlank="1" showInputMessage="1" showErrorMessage="1" error="Please enter a numeric value." sqref="BF5:BM41" xr:uid="{8FF2B883-4BCE-43DB-9CD2-E1DAAB9F643A}">
      <formula1>ISNUMBER(BF5:BM41)</formula1>
    </dataValidation>
  </dataValidations>
  <hyperlinks>
    <hyperlink ref="B46" r:id="rId1" xr:uid="{E927F607-DD36-4C69-A89F-B88D80C3BB99}"/>
    <hyperlink ref="B47" r:id="rId2" display="https://www.thewindpower.net/wind-turbine-datasheet-175-enercon-e44-600.php?" xr:uid="{13C931A5-DF79-4342-B3BA-F4AFDC9A2ED1}"/>
    <hyperlink ref="B48" r:id="rId3" display="https://www.goldwindamericas.com/sites/default/files/GW155-4.5MW-new.pdf" xr:uid="{4300E50D-9C30-447E-A983-4C4E80BBCB60}"/>
    <hyperlink ref="B49" r:id="rId4" display="https://www.nordex-online.com/en/product/n163-5-x/" xr:uid="{BED28BA0-4C37-4B92-B304-6E49B3E87BAC}"/>
    <hyperlink ref="B50" r:id="rId5" display="https://ia801900.us.archive.org/8/items/CDR-PDF-000038/CDR-PDF-000038-Brochures-Vestas-V112.pdf" xr:uid="{6F19A61B-770B-4376-BFD5-3364643BDDD9}"/>
    <hyperlink ref="B51" r:id="rId6" xr:uid="{539158EA-4E92-4C1D-9625-0FDB42E314DC}"/>
    <hyperlink ref="B52" r:id="rId7" display="https://www.vestas.com/en/energy-solutions/onshore-wind-turbines/enventus-platform/v162-6-2-mw" xr:uid="{3D98A2B9-2763-4668-A7C3-E35AB7A1C6DD}"/>
    <hyperlink ref="B53" r:id="rId8" display="https://docslib.org/doc/2212090/technical-documentation-wind-turbine-generator-systems-3-6-137-50-60-hz" xr:uid="{B44276B8-F3F2-41C3-9B87-6A71220DFE72}"/>
    <hyperlink ref="B54" r:id="rId9" display="https://en.wind-turbine-models.com/turbines/1552-ge-vernova-ge-3.8-130" xr:uid="{ACB0A8D3-AF4D-47E5-9618-0D1D56D514AF}"/>
    <hyperlink ref="B3" location="Information" display="Return to Information" xr:uid="{70D9AE2F-AF87-49E5-AB9C-A5CD2C091A6A}"/>
    <hyperlink ref="B55" r:id="rId10" display="https://www.ledsjovind.se/ventosum/Vestas_V47.pdf" xr:uid="{97A61E21-C542-4EA9-9809-AB323CE77FA4}"/>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49A92B-C580-4A9F-A076-9F661D5C3700}">
  <sheetPr codeName="Sheet16">
    <tabColor theme="5" tint="0.39997558519241921"/>
  </sheetPr>
  <dimension ref="A2:N27"/>
  <sheetViews>
    <sheetView showGridLines="0" workbookViewId="0">
      <pane xSplit="3" ySplit="4" topLeftCell="D5" activePane="bottomRight" state="frozen"/>
      <selection pane="topRight" activeCell="D904" sqref="D904"/>
      <selection pane="bottomLeft" activeCell="D904" sqref="D904"/>
      <selection pane="bottomRight"/>
    </sheetView>
  </sheetViews>
  <sheetFormatPr defaultColWidth="8.7265625" defaultRowHeight="12.5"/>
  <cols>
    <col min="1" max="1" width="3.453125" style="214" customWidth="1"/>
    <col min="2" max="2" width="34.7265625" style="214" customWidth="1"/>
    <col min="3" max="3" width="10.54296875" style="214" customWidth="1"/>
    <col min="4" max="4" width="6.1796875" style="214" customWidth="1"/>
    <col min="5" max="5" width="6.1796875" style="398" customWidth="1"/>
    <col min="6" max="7" width="6.1796875" style="214" customWidth="1"/>
    <col min="8" max="11" width="6.26953125" style="214" customWidth="1"/>
    <col min="12" max="14" width="6" style="214" customWidth="1"/>
    <col min="15" max="18" width="10.54296875" style="214" customWidth="1"/>
    <col min="19" max="16384" width="8.7265625" style="214"/>
  </cols>
  <sheetData>
    <row r="2" spans="2:14" ht="13">
      <c r="B2" s="221" t="str">
        <f>Project_Name</f>
        <v xml:space="preserve">South Australia Hydrogen and Renewable Energy Restoration Cost Estimation Tool </v>
      </c>
    </row>
    <row r="3" spans="2:14">
      <c r="B3" s="4" t="s">
        <v>31</v>
      </c>
    </row>
    <row r="4" spans="2:14" ht="114.5">
      <c r="B4" s="347" t="s">
        <v>27</v>
      </c>
      <c r="C4" s="395" t="s">
        <v>51</v>
      </c>
      <c r="D4" s="180" t="s">
        <v>436</v>
      </c>
      <c r="E4" s="180" t="s">
        <v>434</v>
      </c>
      <c r="F4" s="180" t="s">
        <v>435</v>
      </c>
      <c r="G4" s="191" t="s">
        <v>836</v>
      </c>
      <c r="H4" s="191" t="s">
        <v>837</v>
      </c>
      <c r="I4" s="191" t="s">
        <v>838</v>
      </c>
      <c r="J4" s="191" t="s">
        <v>1152</v>
      </c>
      <c r="K4" s="191" t="s">
        <v>1153</v>
      </c>
      <c r="L4" s="191" t="s">
        <v>1154</v>
      </c>
      <c r="M4" s="191" t="s">
        <v>1155</v>
      </c>
      <c r="N4" s="191" t="s">
        <v>1156</v>
      </c>
    </row>
    <row r="5" spans="2:14">
      <c r="B5" s="181" t="s">
        <v>63</v>
      </c>
      <c r="C5" s="182" t="s">
        <v>433</v>
      </c>
      <c r="D5" s="392"/>
      <c r="E5" s="399">
        <v>3.9</v>
      </c>
      <c r="F5" s="392">
        <v>15.6</v>
      </c>
      <c r="G5" s="175"/>
      <c r="H5" s="175"/>
      <c r="I5" s="175"/>
      <c r="J5" s="175"/>
      <c r="K5" s="175"/>
      <c r="L5" s="175"/>
      <c r="M5" s="175"/>
      <c r="N5" s="175"/>
    </row>
    <row r="6" spans="2:14">
      <c r="B6" s="181" t="s">
        <v>330</v>
      </c>
      <c r="C6" s="151" t="s">
        <v>243</v>
      </c>
      <c r="D6" s="396"/>
      <c r="E6" s="193">
        <v>30.5</v>
      </c>
      <c r="F6" s="392">
        <v>38.1</v>
      </c>
      <c r="G6" s="192"/>
      <c r="H6" s="192"/>
      <c r="I6" s="192"/>
      <c r="J6" s="192"/>
      <c r="K6" s="192"/>
      <c r="L6" s="192"/>
      <c r="M6" s="192"/>
      <c r="N6" s="192"/>
    </row>
    <row r="7" spans="2:14" ht="13">
      <c r="B7" s="397" t="s">
        <v>875</v>
      </c>
    </row>
    <row r="8" spans="2:14">
      <c r="B8" s="181" t="s">
        <v>876</v>
      </c>
      <c r="C8" s="151" t="s">
        <v>834</v>
      </c>
      <c r="D8" s="183"/>
      <c r="E8" s="194">
        <v>0.42</v>
      </c>
      <c r="F8" s="183">
        <v>0.43</v>
      </c>
      <c r="G8" s="176"/>
      <c r="H8" s="176"/>
      <c r="I8" s="176"/>
      <c r="J8" s="176"/>
      <c r="K8" s="176"/>
      <c r="L8" s="176"/>
      <c r="M8" s="176"/>
      <c r="N8" s="176"/>
    </row>
    <row r="9" spans="2:14">
      <c r="B9" s="181" t="s">
        <v>828</v>
      </c>
      <c r="C9" s="151" t="s">
        <v>834</v>
      </c>
      <c r="D9" s="183"/>
      <c r="E9" s="194">
        <v>0.06</v>
      </c>
      <c r="F9" s="183">
        <v>0.06</v>
      </c>
      <c r="G9" s="176"/>
      <c r="H9" s="176"/>
      <c r="I9" s="176"/>
      <c r="J9" s="176"/>
      <c r="K9" s="176"/>
      <c r="L9" s="176"/>
      <c r="M9" s="176"/>
      <c r="N9" s="176"/>
    </row>
    <row r="10" spans="2:14">
      <c r="B10" s="181" t="s">
        <v>827</v>
      </c>
      <c r="C10" s="151" t="s">
        <v>834</v>
      </c>
      <c r="D10" s="183"/>
      <c r="E10" s="194">
        <v>0.09</v>
      </c>
      <c r="F10" s="183">
        <v>0.1</v>
      </c>
      <c r="G10" s="176"/>
      <c r="H10" s="176"/>
      <c r="I10" s="176"/>
      <c r="J10" s="176"/>
      <c r="K10" s="176"/>
      <c r="L10" s="176"/>
      <c r="M10" s="176"/>
      <c r="N10" s="176"/>
    </row>
    <row r="11" spans="2:14">
      <c r="B11" s="181" t="s">
        <v>877</v>
      </c>
      <c r="C11" s="151" t="s">
        <v>834</v>
      </c>
      <c r="D11" s="183"/>
      <c r="E11" s="194">
        <v>0.25</v>
      </c>
      <c r="F11" s="183">
        <v>0.24</v>
      </c>
      <c r="G11" s="176"/>
      <c r="H11" s="176"/>
      <c r="I11" s="176"/>
      <c r="J11" s="176"/>
      <c r="K11" s="176"/>
      <c r="L11" s="176"/>
      <c r="M11" s="176"/>
      <c r="N11" s="176"/>
    </row>
    <row r="12" spans="2:14">
      <c r="B12" s="181" t="s">
        <v>878</v>
      </c>
      <c r="C12" s="151" t="s">
        <v>834</v>
      </c>
      <c r="D12" s="183"/>
      <c r="E12" s="194">
        <v>0.02</v>
      </c>
      <c r="F12" s="183">
        <v>0.02</v>
      </c>
      <c r="G12" s="176"/>
      <c r="H12" s="176"/>
      <c r="I12" s="176"/>
      <c r="J12" s="176"/>
      <c r="K12" s="176"/>
      <c r="L12" s="176"/>
      <c r="M12" s="176"/>
      <c r="N12" s="176"/>
    </row>
    <row r="13" spans="2:14">
      <c r="B13" s="181" t="s">
        <v>879</v>
      </c>
      <c r="C13" s="151" t="s">
        <v>834</v>
      </c>
      <c r="D13" s="183"/>
      <c r="E13" s="194">
        <v>7.0000000000000007E-2</v>
      </c>
      <c r="F13" s="183">
        <v>0.06</v>
      </c>
      <c r="G13" s="176"/>
      <c r="H13" s="176"/>
      <c r="I13" s="176"/>
      <c r="J13" s="176"/>
      <c r="K13" s="176"/>
      <c r="L13" s="176"/>
      <c r="M13" s="176"/>
      <c r="N13" s="176"/>
    </row>
    <row r="14" spans="2:14">
      <c r="B14" s="181" t="s">
        <v>880</v>
      </c>
      <c r="C14" s="151" t="s">
        <v>834</v>
      </c>
      <c r="D14" s="183"/>
      <c r="E14" s="194">
        <v>0.03</v>
      </c>
      <c r="F14" s="183">
        <v>0.03</v>
      </c>
      <c r="G14" s="176"/>
      <c r="H14" s="176"/>
      <c r="I14" s="176"/>
      <c r="J14" s="176"/>
      <c r="K14" s="176"/>
      <c r="L14" s="176"/>
      <c r="M14" s="176"/>
      <c r="N14" s="176"/>
    </row>
    <row r="15" spans="2:14">
      <c r="B15" s="181" t="s">
        <v>881</v>
      </c>
      <c r="C15" s="151" t="s">
        <v>834</v>
      </c>
      <c r="D15" s="183"/>
      <c r="E15" s="194">
        <v>0.01</v>
      </c>
      <c r="F15" s="183">
        <v>0.01</v>
      </c>
      <c r="G15" s="176"/>
      <c r="H15" s="176"/>
      <c r="I15" s="176"/>
      <c r="J15" s="176"/>
      <c r="K15" s="176"/>
      <c r="L15" s="176"/>
      <c r="M15" s="176"/>
      <c r="N15" s="176"/>
    </row>
    <row r="16" spans="2:14">
      <c r="B16" s="181" t="s">
        <v>882</v>
      </c>
      <c r="C16" s="151" t="s">
        <v>834</v>
      </c>
      <c r="D16" s="183"/>
      <c r="E16" s="194">
        <v>5.0000000000000001E-3</v>
      </c>
      <c r="F16" s="183">
        <v>5.0000000000000001E-3</v>
      </c>
      <c r="G16" s="176"/>
      <c r="H16" s="176"/>
      <c r="I16" s="176"/>
      <c r="J16" s="176"/>
      <c r="K16" s="176"/>
      <c r="L16" s="176"/>
      <c r="M16" s="176"/>
      <c r="N16" s="176"/>
    </row>
    <row r="17" spans="1:14" ht="13">
      <c r="B17" s="397" t="s">
        <v>883</v>
      </c>
      <c r="E17" s="195"/>
    </row>
    <row r="18" spans="1:14">
      <c r="B18" s="181" t="s">
        <v>833</v>
      </c>
      <c r="C18" s="151" t="s">
        <v>227</v>
      </c>
      <c r="D18" s="396"/>
      <c r="E18" s="400">
        <v>7.25</v>
      </c>
      <c r="F18" s="394">
        <v>8.8000000000000007</v>
      </c>
      <c r="G18" s="192"/>
      <c r="H18" s="192"/>
      <c r="I18" s="192"/>
      <c r="J18" s="192"/>
      <c r="K18" s="192"/>
      <c r="L18" s="192"/>
      <c r="M18" s="192"/>
      <c r="N18" s="192"/>
    </row>
    <row r="19" spans="1:14">
      <c r="B19" s="181" t="s">
        <v>884</v>
      </c>
      <c r="C19" s="151" t="s">
        <v>227</v>
      </c>
      <c r="D19" s="396"/>
      <c r="E19" s="400">
        <v>1.6</v>
      </c>
      <c r="F19" s="394">
        <v>1.65</v>
      </c>
      <c r="G19" s="192"/>
      <c r="H19" s="192"/>
      <c r="I19" s="192"/>
      <c r="J19" s="192"/>
      <c r="K19" s="192"/>
      <c r="L19" s="192"/>
      <c r="M19" s="192"/>
      <c r="N19" s="192"/>
    </row>
    <row r="20" spans="1:14">
      <c r="B20" s="181" t="s">
        <v>859</v>
      </c>
      <c r="C20" s="151" t="s">
        <v>227</v>
      </c>
      <c r="D20" s="392"/>
      <c r="E20" s="400">
        <v>2.5070000000000001</v>
      </c>
      <c r="F20" s="394">
        <v>2.7850000000000001</v>
      </c>
      <c r="G20" s="175"/>
      <c r="H20" s="175"/>
      <c r="I20" s="175"/>
      <c r="J20" s="175"/>
      <c r="K20" s="175"/>
      <c r="L20" s="175"/>
      <c r="M20" s="175"/>
      <c r="N20" s="175"/>
    </row>
    <row r="21" spans="1:14" ht="13">
      <c r="B21" s="181" t="s">
        <v>415</v>
      </c>
      <c r="C21" s="151" t="s">
        <v>203</v>
      </c>
      <c r="D21" s="188"/>
      <c r="E21" s="196">
        <f>E18*E19</f>
        <v>11.600000000000001</v>
      </c>
      <c r="F21" s="196">
        <f>F18*F19</f>
        <v>14.52</v>
      </c>
      <c r="G21" s="188"/>
      <c r="H21" s="188"/>
      <c r="I21" s="188"/>
      <c r="J21" s="188"/>
      <c r="K21" s="188"/>
      <c r="L21" s="188"/>
      <c r="M21" s="188"/>
      <c r="N21" s="188"/>
    </row>
    <row r="22" spans="1:14" ht="13">
      <c r="B22" s="181" t="s">
        <v>1092</v>
      </c>
      <c r="C22" s="151" t="s">
        <v>203</v>
      </c>
      <c r="D22" s="196">
        <f>D21*1.1</f>
        <v>0</v>
      </c>
      <c r="E22" s="196">
        <f>E21*1.1</f>
        <v>12.760000000000003</v>
      </c>
      <c r="F22" s="196">
        <f t="shared" ref="F22:N22" si="0">F21*1.1</f>
        <v>15.972000000000001</v>
      </c>
      <c r="G22" s="196">
        <f t="shared" si="0"/>
        <v>0</v>
      </c>
      <c r="H22" s="196">
        <f t="shared" si="0"/>
        <v>0</v>
      </c>
      <c r="I22" s="196">
        <f t="shared" si="0"/>
        <v>0</v>
      </c>
      <c r="J22" s="196">
        <f t="shared" si="0"/>
        <v>0</v>
      </c>
      <c r="K22" s="196">
        <f t="shared" si="0"/>
        <v>0</v>
      </c>
      <c r="L22" s="196">
        <f t="shared" si="0"/>
        <v>0</v>
      </c>
      <c r="M22" s="196">
        <f t="shared" si="0"/>
        <v>0</v>
      </c>
      <c r="N22" s="196">
        <f t="shared" si="0"/>
        <v>0</v>
      </c>
    </row>
    <row r="23" spans="1:14" ht="13">
      <c r="B23" s="397" t="s">
        <v>885</v>
      </c>
    </row>
    <row r="24" spans="1:14">
      <c r="B24" s="181" t="s">
        <v>1090</v>
      </c>
      <c r="C24" s="151" t="s">
        <v>886</v>
      </c>
      <c r="D24" s="392"/>
      <c r="E24" s="399">
        <v>360</v>
      </c>
      <c r="F24" s="392">
        <v>360</v>
      </c>
      <c r="G24" s="175"/>
      <c r="H24" s="175"/>
      <c r="I24" s="175"/>
      <c r="J24" s="175"/>
      <c r="K24" s="175"/>
      <c r="L24" s="175"/>
      <c r="M24" s="175"/>
      <c r="N24" s="175"/>
    </row>
    <row r="26" spans="1:14">
      <c r="A26" s="214">
        <v>1</v>
      </c>
      <c r="B26" s="159" t="s">
        <v>887</v>
      </c>
    </row>
    <row r="27" spans="1:14">
      <c r="A27" s="214">
        <v>2</v>
      </c>
      <c r="B27" s="159" t="s">
        <v>888</v>
      </c>
    </row>
  </sheetData>
  <sheetProtection algorithmName="SHA-512" hashValue="Kgz8TXckKdcwVHqE4EaqMEPZ1twPXWFRdr4+xuQbQccLaCfo7fElxF7p6Hley6Oew7PR7J8yLVIduIgVvLdZCw==" saltValue="r8/zFLtD7YwbDT/5A5qMGg==" spinCount="100000" sheet="1" objects="1" scenarios="1" autoFilter="0"/>
  <phoneticPr fontId="8" type="noConversion"/>
  <dataValidations count="1">
    <dataValidation type="custom" allowBlank="1" showInputMessage="1" showErrorMessage="1" error="Please enter a numeric value." sqref="G5:N24" xr:uid="{4BF7085F-C61B-4C39-887D-8B6E3048B3D8}">
      <formula1>ISNUMBER(G5:N24)</formula1>
    </dataValidation>
  </dataValidations>
  <hyperlinks>
    <hyperlink ref="B26" r:id="rId1" display="https://marketingdocuments.energytoolbase.com/marketing/TeslaMegapack2Datasheet.pdf" xr:uid="{0CCFDBEE-10B9-41B9-90DF-E32883EF82C7}"/>
    <hyperlink ref="B27" r:id="rId2" display="https://www.carverma.gov/sites/g/files/vyhlif4221/f/uploads/megapack_2_xl_datasheet_0.pdf" xr:uid="{9CBBDFF9-EDFF-4F71-BEC0-4CFF42F90C8B}"/>
    <hyperlink ref="B3" location="Information" display="Return to Information" xr:uid="{82F57BC9-3A2B-4800-BECD-06A2F7762196}"/>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3815B-992B-4FB1-824D-4AD1292DB726}">
  <sheetPr codeName="Sheet17">
    <tabColor theme="5" tint="0.39997558519241921"/>
  </sheetPr>
  <dimension ref="A2:O30"/>
  <sheetViews>
    <sheetView showGridLines="0" workbookViewId="0">
      <pane xSplit="3" ySplit="4" topLeftCell="D5" activePane="bottomRight" state="frozen"/>
      <selection pane="topRight" activeCell="D904" sqref="D904"/>
      <selection pane="bottomLeft" activeCell="D904" sqref="D904"/>
      <selection pane="bottomRight"/>
    </sheetView>
  </sheetViews>
  <sheetFormatPr defaultColWidth="8.7265625" defaultRowHeight="12.5"/>
  <cols>
    <col min="1" max="1" width="3.453125" style="214" customWidth="1"/>
    <col min="2" max="2" width="75.1796875" style="214" bestFit="1" customWidth="1"/>
    <col min="3" max="3" width="10.54296875" style="214" customWidth="1"/>
    <col min="4" max="4" width="10.7265625" style="214" customWidth="1"/>
    <col min="5" max="5" width="13.26953125" style="398" customWidth="1"/>
    <col min="6" max="14" width="13.26953125" style="214" customWidth="1"/>
    <col min="15" max="18" width="10.54296875" style="214" customWidth="1"/>
    <col min="19" max="16384" width="8.7265625" style="214"/>
  </cols>
  <sheetData>
    <row r="2" spans="2:14" ht="18.75" customHeight="1">
      <c r="B2" s="237" t="str">
        <f>Project_Name</f>
        <v xml:space="preserve">South Australia Hydrogen and Renewable Energy Restoration Cost Estimation Tool </v>
      </c>
    </row>
    <row r="3" spans="2:14">
      <c r="B3" s="4" t="s">
        <v>31</v>
      </c>
    </row>
    <row r="4" spans="2:14" ht="117" customHeight="1">
      <c r="B4" s="347" t="s">
        <v>1128</v>
      </c>
      <c r="C4" s="395" t="s">
        <v>51</v>
      </c>
      <c r="D4" s="180" t="s">
        <v>436</v>
      </c>
      <c r="E4" s="197" t="str">
        <f>CONCATENATE(E5,"-",E6,"-",E7," ",E8,"MW")</f>
        <v>Thyssenkrupp nucera-Scalum-Alkaline 20MW</v>
      </c>
      <c r="F4" s="197" t="str">
        <f t="shared" ref="F4:J4" si="0">CONCATENATE(F5,"-",F6,"-",F7," ",F8,"MW")</f>
        <v>FEST Group-gEL400-PEM 2MW</v>
      </c>
      <c r="G4" s="197" t="str">
        <f t="shared" si="0"/>
        <v>FEST Group-gEL500-PEM 2.5MW</v>
      </c>
      <c r="H4" s="197" t="str">
        <f t="shared" si="0"/>
        <v>FEST Group-gEL600-PEM 3MW</v>
      </c>
      <c r="I4" s="197" t="str">
        <f t="shared" si="0"/>
        <v>FEST Group-gEL1000 / 1000R-PEM 5MW</v>
      </c>
      <c r="J4" s="197" t="str">
        <f t="shared" si="0"/>
        <v>Nel Hydrogen-PSM Series-PEM 10MW</v>
      </c>
      <c r="K4" s="197" t="str">
        <f>CONCATENATE(K5,"-",K6,"-",K7," ",K8,"MW")</f>
        <v>Siemens-Elyzer® P-300-PEM MW</v>
      </c>
      <c r="L4" s="208" t="s">
        <v>836</v>
      </c>
      <c r="M4" s="208" t="s">
        <v>837</v>
      </c>
      <c r="N4" s="208" t="s">
        <v>838</v>
      </c>
    </row>
    <row r="5" spans="2:14" s="369" customFormat="1" ht="25">
      <c r="B5" s="198" t="s">
        <v>1129</v>
      </c>
      <c r="C5" s="199"/>
      <c r="D5" s="401"/>
      <c r="E5" s="402" t="s">
        <v>1130</v>
      </c>
      <c r="F5" s="403" t="s">
        <v>1131</v>
      </c>
      <c r="G5" s="403" t="s">
        <v>1131</v>
      </c>
      <c r="H5" s="403" t="s">
        <v>1131</v>
      </c>
      <c r="I5" s="403" t="s">
        <v>1131</v>
      </c>
      <c r="J5" s="403" t="s">
        <v>1132</v>
      </c>
      <c r="K5" s="403" t="s">
        <v>1133</v>
      </c>
      <c r="L5" s="209"/>
      <c r="M5" s="209"/>
      <c r="N5" s="209"/>
    </row>
    <row r="6" spans="2:14" ht="25">
      <c r="B6" s="181" t="s">
        <v>324</v>
      </c>
      <c r="C6" s="151"/>
      <c r="D6" s="393"/>
      <c r="E6" s="200" t="s">
        <v>1134</v>
      </c>
      <c r="F6" s="403" t="s">
        <v>1135</v>
      </c>
      <c r="G6" s="403" t="s">
        <v>1136</v>
      </c>
      <c r="H6" s="403" t="s">
        <v>1137</v>
      </c>
      <c r="I6" s="403" t="s">
        <v>1138</v>
      </c>
      <c r="J6" s="403" t="s">
        <v>1139</v>
      </c>
      <c r="K6" s="403" t="s">
        <v>1140</v>
      </c>
      <c r="L6" s="210"/>
      <c r="M6" s="210"/>
      <c r="N6" s="210"/>
    </row>
    <row r="7" spans="2:14">
      <c r="B7" s="181" t="s">
        <v>949</v>
      </c>
      <c r="C7" s="151"/>
      <c r="D7" s="201"/>
      <c r="E7" s="202" t="s">
        <v>1141</v>
      </c>
      <c r="F7" s="201" t="s">
        <v>1142</v>
      </c>
      <c r="G7" s="201" t="s">
        <v>1142</v>
      </c>
      <c r="H7" s="201" t="s">
        <v>1142</v>
      </c>
      <c r="I7" s="201" t="s">
        <v>1142</v>
      </c>
      <c r="J7" s="201" t="s">
        <v>1142</v>
      </c>
      <c r="K7" s="201" t="s">
        <v>1142</v>
      </c>
      <c r="L7" s="211"/>
      <c r="M7" s="211"/>
      <c r="N7" s="211"/>
    </row>
    <row r="8" spans="2:14">
      <c r="B8" s="181" t="s">
        <v>63</v>
      </c>
      <c r="C8" s="151" t="s">
        <v>64</v>
      </c>
      <c r="D8" s="203"/>
      <c r="E8" s="193">
        <v>20</v>
      </c>
      <c r="F8" s="203">
        <v>2</v>
      </c>
      <c r="G8" s="203">
        <v>2.5</v>
      </c>
      <c r="H8" s="203">
        <v>3</v>
      </c>
      <c r="I8" s="203">
        <v>5</v>
      </c>
      <c r="J8" s="203">
        <v>10</v>
      </c>
      <c r="K8" s="203"/>
      <c r="L8" s="212"/>
      <c r="M8" s="212"/>
      <c r="N8" s="212"/>
    </row>
    <row r="9" spans="2:14">
      <c r="B9" s="181" t="s">
        <v>330</v>
      </c>
      <c r="C9" s="151" t="s">
        <v>1208</v>
      </c>
      <c r="D9" s="203"/>
      <c r="E9" s="193">
        <v>9</v>
      </c>
      <c r="F9" s="203">
        <v>0.9</v>
      </c>
      <c r="G9" s="203">
        <v>1.1000000000000001</v>
      </c>
      <c r="H9" s="203">
        <v>1.35</v>
      </c>
      <c r="I9" s="203">
        <v>2.25</v>
      </c>
      <c r="J9" s="203">
        <v>4.5</v>
      </c>
      <c r="K9" s="203">
        <v>7.9</v>
      </c>
      <c r="L9" s="212"/>
      <c r="M9" s="212"/>
      <c r="N9" s="212"/>
    </row>
    <row r="10" spans="2:14">
      <c r="B10" s="181" t="s">
        <v>1143</v>
      </c>
      <c r="C10" s="151" t="s">
        <v>1144</v>
      </c>
      <c r="D10" s="204"/>
      <c r="E10" s="205">
        <v>0</v>
      </c>
      <c r="F10" s="204">
        <v>0</v>
      </c>
      <c r="G10" s="204">
        <v>0</v>
      </c>
      <c r="H10" s="204">
        <v>0</v>
      </c>
      <c r="I10" s="204">
        <v>3</v>
      </c>
      <c r="J10" s="204">
        <v>1</v>
      </c>
      <c r="K10" s="204"/>
      <c r="L10" s="213"/>
      <c r="M10" s="213"/>
      <c r="N10" s="213"/>
    </row>
    <row r="11" spans="2:14">
      <c r="B11" s="181" t="s">
        <v>1143</v>
      </c>
      <c r="C11" s="151" t="s">
        <v>1145</v>
      </c>
      <c r="D11" s="204"/>
      <c r="E11" s="205">
        <v>2</v>
      </c>
      <c r="F11" s="204">
        <v>2</v>
      </c>
      <c r="G11" s="204">
        <v>2</v>
      </c>
      <c r="H11" s="204">
        <v>2</v>
      </c>
      <c r="I11" s="204">
        <v>1</v>
      </c>
      <c r="J11" s="204">
        <v>1</v>
      </c>
      <c r="K11" s="204"/>
      <c r="L11" s="213"/>
      <c r="M11" s="213"/>
      <c r="N11" s="213"/>
    </row>
    <row r="12" spans="2:14" ht="13">
      <c r="B12" s="397" t="s">
        <v>1207</v>
      </c>
    </row>
    <row r="13" spans="2:14" ht="13">
      <c r="B13" s="181" t="s">
        <v>1209</v>
      </c>
      <c r="C13" s="151" t="s">
        <v>1187</v>
      </c>
      <c r="D13" s="206">
        <f t="shared" ref="D13:N13" si="1">D9*kilograms_in_tonnes*Water_demand_greenH2/(Litres_in_kilolitres*Kilolitres_in_megalitres)</f>
        <v>0</v>
      </c>
      <c r="E13" s="206">
        <f t="shared" si="1"/>
        <v>0.13500000000000001</v>
      </c>
      <c r="F13" s="206">
        <f t="shared" si="1"/>
        <v>1.35E-2</v>
      </c>
      <c r="G13" s="206">
        <f t="shared" si="1"/>
        <v>1.6500000000000001E-2</v>
      </c>
      <c r="H13" s="206">
        <f t="shared" si="1"/>
        <v>2.0250000000000001E-2</v>
      </c>
      <c r="I13" s="206">
        <f t="shared" si="1"/>
        <v>3.3750000000000002E-2</v>
      </c>
      <c r="J13" s="206">
        <f t="shared" si="1"/>
        <v>6.7500000000000004E-2</v>
      </c>
      <c r="K13" s="206">
        <f t="shared" si="1"/>
        <v>0.11849999999999999</v>
      </c>
      <c r="L13" s="206">
        <f t="shared" si="1"/>
        <v>0</v>
      </c>
      <c r="M13" s="206">
        <f t="shared" si="1"/>
        <v>0</v>
      </c>
      <c r="N13" s="206">
        <f t="shared" si="1"/>
        <v>0</v>
      </c>
    </row>
    <row r="14" spans="2:14">
      <c r="B14" s="181"/>
      <c r="C14" s="151"/>
      <c r="D14" s="203"/>
      <c r="E14" s="193"/>
      <c r="F14" s="203"/>
      <c r="G14" s="203"/>
      <c r="H14" s="203"/>
      <c r="I14" s="203"/>
      <c r="J14" s="203"/>
      <c r="K14" s="203"/>
      <c r="L14" s="212"/>
      <c r="M14" s="212"/>
      <c r="N14" s="212"/>
    </row>
    <row r="15" spans="2:14">
      <c r="B15" s="181"/>
      <c r="C15" s="151"/>
      <c r="D15" s="203"/>
      <c r="E15" s="193"/>
      <c r="F15" s="203"/>
      <c r="G15" s="203"/>
      <c r="H15" s="203"/>
      <c r="I15" s="203"/>
      <c r="J15" s="203"/>
      <c r="K15" s="203"/>
      <c r="L15" s="212"/>
      <c r="M15" s="212"/>
      <c r="N15" s="212"/>
    </row>
    <row r="16" spans="2:14">
      <c r="B16" s="181"/>
      <c r="C16" s="151"/>
      <c r="D16" s="203"/>
      <c r="E16" s="193"/>
      <c r="F16" s="203"/>
      <c r="G16" s="203"/>
      <c r="H16" s="203"/>
      <c r="I16" s="203"/>
      <c r="J16" s="203"/>
      <c r="K16" s="203"/>
      <c r="L16" s="212"/>
      <c r="M16" s="212"/>
      <c r="N16" s="212"/>
    </row>
    <row r="17" spans="1:15">
      <c r="B17" s="181"/>
      <c r="C17" s="151"/>
      <c r="D17" s="203"/>
      <c r="E17" s="193"/>
      <c r="F17" s="203"/>
      <c r="G17" s="203"/>
      <c r="H17" s="203"/>
      <c r="I17" s="203"/>
      <c r="J17" s="203"/>
      <c r="K17" s="203"/>
      <c r="L17" s="212"/>
      <c r="M17" s="212"/>
      <c r="N17" s="212"/>
    </row>
    <row r="18" spans="1:15">
      <c r="B18" s="181"/>
      <c r="C18" s="151"/>
      <c r="D18" s="203"/>
      <c r="E18" s="193"/>
      <c r="F18" s="203"/>
      <c r="G18" s="203"/>
      <c r="H18" s="203"/>
      <c r="I18" s="203"/>
      <c r="J18" s="203"/>
      <c r="K18" s="203"/>
      <c r="L18" s="212"/>
      <c r="M18" s="212"/>
      <c r="N18" s="212"/>
    </row>
    <row r="19" spans="1:15">
      <c r="B19" s="181"/>
      <c r="C19" s="151"/>
      <c r="D19" s="203"/>
      <c r="E19" s="193"/>
      <c r="F19" s="203"/>
      <c r="G19" s="203"/>
      <c r="H19" s="203"/>
      <c r="I19" s="203"/>
      <c r="J19" s="203"/>
      <c r="K19" s="203"/>
      <c r="L19" s="212"/>
      <c r="M19" s="212"/>
      <c r="N19" s="212"/>
    </row>
    <row r="20" spans="1:15">
      <c r="B20" s="181"/>
      <c r="C20" s="151"/>
      <c r="D20" s="203"/>
      <c r="E20" s="193"/>
      <c r="F20" s="203"/>
      <c r="G20" s="203"/>
      <c r="H20" s="203"/>
      <c r="I20" s="203"/>
      <c r="J20" s="203"/>
      <c r="K20" s="203"/>
      <c r="L20" s="212"/>
      <c r="M20" s="212"/>
      <c r="N20" s="212"/>
    </row>
    <row r="21" spans="1:15" ht="13">
      <c r="B21" s="397" t="s">
        <v>883</v>
      </c>
      <c r="E21" s="214"/>
    </row>
    <row r="22" spans="1:15">
      <c r="B22" s="181" t="s">
        <v>832</v>
      </c>
      <c r="C22" s="151" t="s">
        <v>227</v>
      </c>
      <c r="D22" s="392"/>
      <c r="E22" s="399"/>
      <c r="F22" s="392"/>
      <c r="G22" s="392"/>
      <c r="H22" s="392"/>
      <c r="I22" s="392"/>
      <c r="J22" s="392"/>
      <c r="K22" s="392"/>
      <c r="L22" s="175"/>
      <c r="M22" s="175"/>
      <c r="N22" s="175"/>
    </row>
    <row r="23" spans="1:15">
      <c r="B23" s="181" t="s">
        <v>833</v>
      </c>
      <c r="C23" s="151" t="s">
        <v>227</v>
      </c>
      <c r="D23" s="392"/>
      <c r="E23" s="399"/>
      <c r="F23" s="392"/>
      <c r="G23" s="392"/>
      <c r="H23" s="392"/>
      <c r="I23" s="392"/>
      <c r="J23" s="392"/>
      <c r="K23" s="392"/>
      <c r="L23" s="175"/>
      <c r="M23" s="175"/>
      <c r="N23" s="175"/>
      <c r="O23" s="404"/>
    </row>
    <row r="24" spans="1:15">
      <c r="B24" s="181" t="s">
        <v>859</v>
      </c>
      <c r="C24" s="151" t="s">
        <v>227</v>
      </c>
      <c r="D24" s="392"/>
      <c r="E24" s="399"/>
      <c r="F24" s="392"/>
      <c r="G24" s="392"/>
      <c r="H24" s="392"/>
      <c r="I24" s="392"/>
      <c r="J24" s="392"/>
      <c r="K24" s="392"/>
      <c r="L24" s="175"/>
      <c r="M24" s="175"/>
      <c r="N24" s="175"/>
    </row>
    <row r="25" spans="1:15">
      <c r="B25" s="181" t="s">
        <v>415</v>
      </c>
      <c r="C25" s="151" t="s">
        <v>203</v>
      </c>
      <c r="D25" s="392"/>
      <c r="E25" s="392"/>
      <c r="F25" s="392"/>
      <c r="G25" s="392"/>
      <c r="H25" s="392"/>
      <c r="I25" s="392"/>
      <c r="J25" s="392"/>
      <c r="K25" s="392"/>
      <c r="L25" s="175"/>
      <c r="M25" s="175"/>
      <c r="N25" s="175"/>
    </row>
    <row r="26" spans="1:15" ht="13">
      <c r="B26" s="397" t="s">
        <v>885</v>
      </c>
      <c r="E26" s="214"/>
    </row>
    <row r="27" spans="1:15" ht="13">
      <c r="B27" s="181" t="s">
        <v>1146</v>
      </c>
      <c r="C27" s="151" t="s">
        <v>353</v>
      </c>
      <c r="D27" s="207">
        <f>D8*3</f>
        <v>0</v>
      </c>
      <c r="E27" s="207">
        <f t="shared" ref="E27:N27" si="2">E8*3</f>
        <v>60</v>
      </c>
      <c r="F27" s="207">
        <f t="shared" si="2"/>
        <v>6</v>
      </c>
      <c r="G27" s="207">
        <f t="shared" si="2"/>
        <v>7.5</v>
      </c>
      <c r="H27" s="207">
        <f t="shared" si="2"/>
        <v>9</v>
      </c>
      <c r="I27" s="207">
        <f t="shared" si="2"/>
        <v>15</v>
      </c>
      <c r="J27" s="207">
        <f t="shared" si="2"/>
        <v>30</v>
      </c>
      <c r="K27" s="207">
        <f t="shared" si="2"/>
        <v>0</v>
      </c>
      <c r="L27" s="207">
        <f t="shared" si="2"/>
        <v>0</v>
      </c>
      <c r="M27" s="207">
        <f t="shared" si="2"/>
        <v>0</v>
      </c>
      <c r="N27" s="207">
        <f t="shared" si="2"/>
        <v>0</v>
      </c>
    </row>
    <row r="29" spans="1:15">
      <c r="A29" s="214">
        <v>1</v>
      </c>
      <c r="B29" s="159" t="s">
        <v>1147</v>
      </c>
      <c r="C29" s="398"/>
      <c r="E29" s="214"/>
    </row>
    <row r="30" spans="1:15">
      <c r="A30" s="214">
        <v>2</v>
      </c>
      <c r="B30" s="159" t="s">
        <v>1148</v>
      </c>
      <c r="C30" s="398"/>
      <c r="E30" s="214"/>
    </row>
  </sheetData>
  <sheetProtection algorithmName="SHA-512" hashValue="MAItM+1q4Mx3ij5ZUknZvQdswqj952jWo5/SxqjPKR0E5igpJaUL/4GerDmqFl9omGovrIbwvjXVIhzhwSCjfg==" saltValue="rs04gCGnzmVEEcFJdorHbA==" spinCount="100000" sheet="1" objects="1" scenarios="1" autoFilter="0"/>
  <phoneticPr fontId="8" type="noConversion"/>
  <dataValidations count="2">
    <dataValidation type="custom" allowBlank="1" showInputMessage="1" showErrorMessage="1" error="Please enter a numeric value." sqref="L8:N11" xr:uid="{A4427D0B-335D-40EB-B812-338BA04B50BC}">
      <formula1>ISNUMBER(L8:N25)</formula1>
    </dataValidation>
    <dataValidation type="custom" allowBlank="1" showInputMessage="1" showErrorMessage="1" error="Please enter a numeric value." sqref="L12:N25" xr:uid="{B3678BFD-35B1-4BD9-8AC4-809E31484F51}">
      <formula1>ISNUMBER(L12:N28)</formula1>
    </dataValidation>
  </dataValidations>
  <hyperlinks>
    <hyperlink ref="B3" location="Information" display="Return to Information" xr:uid="{7D38FA91-3354-4184-B6E5-175D69A474BB}"/>
    <hyperlink ref="B29" r:id="rId1" display="https://fest-group.de/en/solutions/pem-electrolyzers/" xr:uid="{EECF3898-85C8-4039-AF0F-4E452D14DEDC}"/>
    <hyperlink ref="B30" r:id="rId2" display="https://nelhydrogen.com/product/psm-series-electrolyser/" xr:uid="{B7EA0B31-DC15-49AD-BDE0-D7AF5651746F}"/>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299C26-D7B3-4E5E-A673-BAD654406D03}">
  <sheetPr codeName="Sheet18"/>
  <dimension ref="B1:D185"/>
  <sheetViews>
    <sheetView showGridLines="0" zoomScaleNormal="100" workbookViewId="0"/>
  </sheetViews>
  <sheetFormatPr defaultColWidth="8.7265625" defaultRowHeight="12.5"/>
  <cols>
    <col min="1" max="1" width="8.7265625" style="214"/>
    <col min="2" max="2" width="66.1796875" style="214" bestFit="1" customWidth="1"/>
    <col min="3" max="16384" width="8.7265625" style="214"/>
  </cols>
  <sheetData>
    <row r="1" spans="2:3" ht="13">
      <c r="B1" s="405" t="s">
        <v>889</v>
      </c>
    </row>
    <row r="2" spans="2:3" ht="13">
      <c r="B2" s="221" t="str">
        <f>Project_Name</f>
        <v xml:space="preserve">South Australia Hydrogen and Renewable Energy Restoration Cost Estimation Tool </v>
      </c>
    </row>
    <row r="4" spans="2:3" ht="13">
      <c r="B4" s="347" t="s">
        <v>890</v>
      </c>
    </row>
    <row r="6" spans="2:3">
      <c r="B6" s="406" t="s">
        <v>83</v>
      </c>
    </row>
    <row r="7" spans="2:3">
      <c r="B7" s="406" t="s">
        <v>891</v>
      </c>
    </row>
    <row r="8" spans="2:3">
      <c r="B8" s="406" t="s">
        <v>892</v>
      </c>
    </row>
    <row r="9" spans="2:3">
      <c r="B9" s="406" t="s">
        <v>893</v>
      </c>
    </row>
    <row r="11" spans="2:3" s="398" customFormat="1" ht="13">
      <c r="B11" s="225" t="s">
        <v>894</v>
      </c>
      <c r="C11" s="407"/>
    </row>
    <row r="12" spans="2:3" s="398" customFormat="1">
      <c r="B12" s="406" t="str">
        <f>CONCATENATE("≤ ",C12,"m push")</f>
        <v>≤ 20m push</v>
      </c>
      <c r="C12" s="406">
        <v>20</v>
      </c>
    </row>
    <row r="13" spans="2:3" s="398" customFormat="1">
      <c r="B13" s="406" t="str">
        <f>CONCATENATE("&gt; ",C12,"m to ≤ ",C13,"m push")</f>
        <v>&gt; 20m to ≤ 50m push</v>
      </c>
      <c r="C13" s="406">
        <v>50</v>
      </c>
    </row>
    <row r="14" spans="2:3" s="398" customFormat="1">
      <c r="B14" s="406" t="str">
        <f>CONCATENATE("&gt; ",C13,"m to ≤ ",C14,"m push")</f>
        <v>&gt; 50m to ≤ 75m push</v>
      </c>
      <c r="C14" s="406">
        <v>75</v>
      </c>
    </row>
    <row r="15" spans="2:3" s="398" customFormat="1">
      <c r="B15" s="406" t="str">
        <f t="shared" ref="B15:B24" si="0">CONCATENATE("&gt; ",C14,"m to ≤ ",C15,"m push")</f>
        <v>&gt; 75m to ≤ 100m push</v>
      </c>
      <c r="C15" s="406">
        <v>100</v>
      </c>
    </row>
    <row r="16" spans="2:3" s="398" customFormat="1">
      <c r="B16" s="406" t="str">
        <f t="shared" si="0"/>
        <v>&gt; 100m to ≤ 125m push</v>
      </c>
      <c r="C16" s="406">
        <v>125</v>
      </c>
    </row>
    <row r="17" spans="2:3" s="398" customFormat="1">
      <c r="B17" s="406" t="str">
        <f t="shared" si="0"/>
        <v>&gt; 125m to ≤ 150m push</v>
      </c>
      <c r="C17" s="406">
        <v>150</v>
      </c>
    </row>
    <row r="18" spans="2:3" s="398" customFormat="1">
      <c r="B18" s="406" t="str">
        <f t="shared" si="0"/>
        <v>&gt; 150m to ≤ 200m push</v>
      </c>
      <c r="C18" s="406">
        <f t="shared" ref="C18:C25" si="1">C17+50</f>
        <v>200</v>
      </c>
    </row>
    <row r="19" spans="2:3" s="398" customFormat="1">
      <c r="B19" s="406" t="str">
        <f t="shared" si="0"/>
        <v>&gt; 200m to ≤ 250m push</v>
      </c>
      <c r="C19" s="406">
        <f t="shared" si="1"/>
        <v>250</v>
      </c>
    </row>
    <row r="20" spans="2:3" s="398" customFormat="1">
      <c r="B20" s="406" t="str">
        <f t="shared" si="0"/>
        <v>&gt; 250m to ≤ 300m push</v>
      </c>
      <c r="C20" s="406">
        <f t="shared" si="1"/>
        <v>300</v>
      </c>
    </row>
    <row r="21" spans="2:3" s="398" customFormat="1">
      <c r="B21" s="406" t="str">
        <f t="shared" si="0"/>
        <v>&gt; 300m to ≤ 350m push</v>
      </c>
      <c r="C21" s="406">
        <f t="shared" si="1"/>
        <v>350</v>
      </c>
    </row>
    <row r="22" spans="2:3" s="398" customFormat="1">
      <c r="B22" s="406" t="str">
        <f t="shared" si="0"/>
        <v>&gt; 350m to ≤ 400m push</v>
      </c>
      <c r="C22" s="406">
        <f t="shared" si="1"/>
        <v>400</v>
      </c>
    </row>
    <row r="23" spans="2:3" s="398" customFormat="1">
      <c r="B23" s="406" t="str">
        <f t="shared" si="0"/>
        <v>&gt; 400m to ≤ 450m push</v>
      </c>
      <c r="C23" s="406">
        <f t="shared" si="1"/>
        <v>450</v>
      </c>
    </row>
    <row r="24" spans="2:3" s="398" customFormat="1">
      <c r="B24" s="406" t="str">
        <f t="shared" si="0"/>
        <v>&gt; 450m to ≤ 500m push</v>
      </c>
      <c r="C24" s="406">
        <f t="shared" si="1"/>
        <v>500</v>
      </c>
    </row>
    <row r="25" spans="2:3" s="398" customFormat="1">
      <c r="B25" s="406" t="str">
        <f>CONCATENATE("&gt; ",C24,"m push")</f>
        <v>&gt; 500m push</v>
      </c>
      <c r="C25" s="406">
        <f t="shared" si="1"/>
        <v>550</v>
      </c>
    </row>
    <row r="26" spans="2:3" s="398" customFormat="1"/>
    <row r="27" spans="2:3" s="398" customFormat="1" ht="13">
      <c r="B27" s="408" t="s">
        <v>660</v>
      </c>
    </row>
    <row r="28" spans="2:3" s="398" customFormat="1">
      <c r="B28" s="406" t="s">
        <v>828</v>
      </c>
    </row>
    <row r="29" spans="2:3" s="398" customFormat="1">
      <c r="B29" s="406" t="s">
        <v>827</v>
      </c>
    </row>
    <row r="30" spans="2:3" s="398" customFormat="1">
      <c r="B30" s="406"/>
    </row>
    <row r="31" spans="2:3" s="398" customFormat="1">
      <c r="B31" s="409"/>
    </row>
    <row r="32" spans="2:3" ht="13">
      <c r="B32" s="225" t="s">
        <v>900</v>
      </c>
    </row>
    <row r="33" spans="2:2">
      <c r="B33" s="410" t="s">
        <v>157</v>
      </c>
    </row>
    <row r="34" spans="2:2">
      <c r="B34" s="410" t="s">
        <v>146</v>
      </c>
    </row>
    <row r="35" spans="2:2">
      <c r="B35" s="410" t="s">
        <v>148</v>
      </c>
    </row>
    <row r="36" spans="2:2" ht="11.5" customHeight="1"/>
    <row r="37" spans="2:2" ht="13">
      <c r="B37" s="225" t="s">
        <v>901</v>
      </c>
    </row>
    <row r="38" spans="2:2">
      <c r="B38" s="406" t="s">
        <v>1283</v>
      </c>
    </row>
    <row r="39" spans="2:2">
      <c r="B39" s="406" t="s">
        <v>1284</v>
      </c>
    </row>
    <row r="40" spans="2:2">
      <c r="B40" s="406" t="s">
        <v>1285</v>
      </c>
    </row>
    <row r="41" spans="2:2">
      <c r="B41" s="406" t="s">
        <v>1286</v>
      </c>
    </row>
    <row r="42" spans="2:2">
      <c r="B42" s="406" t="s">
        <v>1287</v>
      </c>
    </row>
    <row r="43" spans="2:2">
      <c r="B43" s="406" t="s">
        <v>1288</v>
      </c>
    </row>
    <row r="44" spans="2:2">
      <c r="B44" s="406" t="s">
        <v>1289</v>
      </c>
    </row>
    <row r="45" spans="2:2">
      <c r="B45" s="406" t="s">
        <v>1290</v>
      </c>
    </row>
    <row r="46" spans="2:2">
      <c r="B46" s="406" t="s">
        <v>1291</v>
      </c>
    </row>
    <row r="47" spans="2:2">
      <c r="B47" s="406" t="s">
        <v>1292</v>
      </c>
    </row>
    <row r="48" spans="2:2">
      <c r="B48" s="406" t="s">
        <v>902</v>
      </c>
    </row>
    <row r="50" spans="2:3" ht="13">
      <c r="B50" s="225" t="s">
        <v>903</v>
      </c>
      <c r="C50" s="225" t="s">
        <v>502</v>
      </c>
    </row>
    <row r="51" spans="2:3">
      <c r="B51" s="406" t="s">
        <v>904</v>
      </c>
      <c r="C51" s="411">
        <v>2.5</v>
      </c>
    </row>
    <row r="52" spans="2:3">
      <c r="B52" s="406" t="s">
        <v>905</v>
      </c>
      <c r="C52" s="411">
        <v>7.5</v>
      </c>
    </row>
    <row r="53" spans="2:3">
      <c r="B53" s="406" t="s">
        <v>906</v>
      </c>
      <c r="C53" s="411">
        <v>12.5</v>
      </c>
    </row>
    <row r="54" spans="2:3">
      <c r="B54" s="406" t="s">
        <v>907</v>
      </c>
      <c r="C54" s="411">
        <v>17.5</v>
      </c>
    </row>
    <row r="55" spans="2:3">
      <c r="B55" s="406" t="s">
        <v>908</v>
      </c>
      <c r="C55" s="411">
        <v>22.5</v>
      </c>
    </row>
    <row r="56" spans="2:3">
      <c r="B56" s="406" t="s">
        <v>909</v>
      </c>
      <c r="C56" s="411">
        <v>27.5</v>
      </c>
    </row>
    <row r="57" spans="2:3">
      <c r="B57" s="406" t="s">
        <v>815</v>
      </c>
      <c r="C57" s="411">
        <v>32.5</v>
      </c>
    </row>
    <row r="58" spans="2:3">
      <c r="B58" s="406" t="s">
        <v>910</v>
      </c>
      <c r="C58" s="411">
        <v>37.5</v>
      </c>
    </row>
    <row r="59" spans="2:3">
      <c r="B59" s="406" t="s">
        <v>911</v>
      </c>
      <c r="C59" s="411">
        <v>42.5</v>
      </c>
    </row>
    <row r="60" spans="2:3">
      <c r="B60" s="406" t="s">
        <v>912</v>
      </c>
      <c r="C60" s="411">
        <v>47.5</v>
      </c>
    </row>
    <row r="61" spans="2:3">
      <c r="B61" s="406" t="s">
        <v>800</v>
      </c>
      <c r="C61" s="411">
        <v>55</v>
      </c>
    </row>
    <row r="62" spans="2:3">
      <c r="B62" s="406" t="s">
        <v>913</v>
      </c>
      <c r="C62" s="411">
        <v>65</v>
      </c>
    </row>
    <row r="63" spans="2:3">
      <c r="B63" s="406" t="s">
        <v>914</v>
      </c>
      <c r="C63" s="411">
        <v>75</v>
      </c>
    </row>
    <row r="64" spans="2:3">
      <c r="B64" s="406" t="s">
        <v>915</v>
      </c>
      <c r="C64" s="411">
        <v>85</v>
      </c>
    </row>
    <row r="65" spans="2:3">
      <c r="B65" s="406" t="s">
        <v>916</v>
      </c>
      <c r="C65" s="411">
        <v>95</v>
      </c>
    </row>
    <row r="66" spans="2:3">
      <c r="B66" s="406" t="s">
        <v>917</v>
      </c>
      <c r="C66" s="411">
        <v>125</v>
      </c>
    </row>
    <row r="67" spans="2:3">
      <c r="B67" s="406" t="s">
        <v>918</v>
      </c>
      <c r="C67" s="411">
        <v>175</v>
      </c>
    </row>
    <row r="68" spans="2:3">
      <c r="B68" s="406" t="s">
        <v>919</v>
      </c>
      <c r="C68" s="411">
        <v>225</v>
      </c>
    </row>
    <row r="69" spans="2:3">
      <c r="B69" s="406" t="s">
        <v>920</v>
      </c>
      <c r="C69" s="411">
        <v>250</v>
      </c>
    </row>
    <row r="71" spans="2:3" ht="13">
      <c r="B71" s="225" t="s">
        <v>895</v>
      </c>
    </row>
    <row r="72" spans="2:3">
      <c r="B72" s="406" t="s">
        <v>896</v>
      </c>
    </row>
    <row r="73" spans="2:3">
      <c r="B73" s="406" t="s">
        <v>897</v>
      </c>
    </row>
    <row r="74" spans="2:3">
      <c r="B74" s="406" t="s">
        <v>898</v>
      </c>
    </row>
    <row r="75" spans="2:3">
      <c r="B75" s="406" t="s">
        <v>899</v>
      </c>
    </row>
    <row r="76" spans="2:3">
      <c r="B76" s="406"/>
    </row>
    <row r="78" spans="2:3" ht="13">
      <c r="B78" s="225" t="s">
        <v>74</v>
      </c>
    </row>
    <row r="79" spans="2:3">
      <c r="B79" s="406" t="s">
        <v>501</v>
      </c>
    </row>
    <row r="80" spans="2:3">
      <c r="B80" s="406" t="s">
        <v>502</v>
      </c>
    </row>
    <row r="81" spans="2:2">
      <c r="B81" s="406" t="s">
        <v>503</v>
      </c>
    </row>
    <row r="82" spans="2:2">
      <c r="B82" s="406" t="s">
        <v>506</v>
      </c>
    </row>
    <row r="83" spans="2:2">
      <c r="B83" s="406" t="s">
        <v>507</v>
      </c>
    </row>
    <row r="84" spans="2:2">
      <c r="B84" s="406" t="s">
        <v>508</v>
      </c>
    </row>
    <row r="85" spans="2:2">
      <c r="B85" s="406" t="s">
        <v>509</v>
      </c>
    </row>
    <row r="86" spans="2:2">
      <c r="B86" s="406" t="s">
        <v>510</v>
      </c>
    </row>
    <row r="87" spans="2:2">
      <c r="B87" s="406" t="s">
        <v>511</v>
      </c>
    </row>
    <row r="88" spans="2:2">
      <c r="B88" s="406" t="s">
        <v>512</v>
      </c>
    </row>
    <row r="89" spans="2:2">
      <c r="B89" s="406" t="s">
        <v>513</v>
      </c>
    </row>
    <row r="90" spans="2:2">
      <c r="B90" s="406" t="s">
        <v>514</v>
      </c>
    </row>
    <row r="91" spans="2:2">
      <c r="B91" s="406" t="s">
        <v>515</v>
      </c>
    </row>
    <row r="92" spans="2:2">
      <c r="B92" s="406" t="s">
        <v>516</v>
      </c>
    </row>
    <row r="93" spans="2:2">
      <c r="B93" s="406" t="s">
        <v>517</v>
      </c>
    </row>
    <row r="94" spans="2:2">
      <c r="B94" s="406" t="s">
        <v>518</v>
      </c>
    </row>
    <row r="95" spans="2:2">
      <c r="B95" s="406" t="s">
        <v>519</v>
      </c>
    </row>
    <row r="96" spans="2:2">
      <c r="B96" s="406" t="s">
        <v>520</v>
      </c>
    </row>
    <row r="97" spans="2:2">
      <c r="B97" s="406" t="s">
        <v>521</v>
      </c>
    </row>
    <row r="98" spans="2:2">
      <c r="B98" s="406" t="s">
        <v>1158</v>
      </c>
    </row>
    <row r="99" spans="2:2">
      <c r="B99" s="406" t="s">
        <v>522</v>
      </c>
    </row>
    <row r="101" spans="2:2" ht="13">
      <c r="B101" s="225" t="s">
        <v>923</v>
      </c>
    </row>
    <row r="102" spans="2:2">
      <c r="B102" s="406" t="s">
        <v>924</v>
      </c>
    </row>
    <row r="103" spans="2:2">
      <c r="B103" s="406" t="s">
        <v>925</v>
      </c>
    </row>
    <row r="104" spans="2:2">
      <c r="B104" s="406" t="s">
        <v>926</v>
      </c>
    </row>
    <row r="105" spans="2:2">
      <c r="B105" s="406" t="s">
        <v>927</v>
      </c>
    </row>
    <row r="107" spans="2:2" ht="13">
      <c r="B107" s="225" t="s">
        <v>921</v>
      </c>
    </row>
    <row r="108" spans="2:2">
      <c r="B108" s="406" t="s">
        <v>1293</v>
      </c>
    </row>
    <row r="109" spans="2:2">
      <c r="B109" s="406" t="s">
        <v>1294</v>
      </c>
    </row>
    <row r="110" spans="2:2">
      <c r="B110" s="406" t="s">
        <v>1295</v>
      </c>
    </row>
    <row r="111" spans="2:2">
      <c r="B111" s="406" t="s">
        <v>922</v>
      </c>
    </row>
    <row r="113" spans="2:2" ht="13">
      <c r="B113" s="225" t="s">
        <v>944</v>
      </c>
    </row>
    <row r="114" spans="2:2">
      <c r="B114" s="410" t="s">
        <v>945</v>
      </c>
    </row>
    <row r="115" spans="2:2">
      <c r="B115" s="410" t="s">
        <v>946</v>
      </c>
    </row>
    <row r="116" spans="2:2">
      <c r="B116" s="410" t="s">
        <v>947</v>
      </c>
    </row>
    <row r="118" spans="2:2" ht="13">
      <c r="B118" s="225" t="s">
        <v>1246</v>
      </c>
    </row>
    <row r="119" spans="2:2">
      <c r="B119" s="406" t="s">
        <v>1026</v>
      </c>
    </row>
    <row r="120" spans="2:2">
      <c r="B120" s="406" t="s">
        <v>1261</v>
      </c>
    </row>
    <row r="121" spans="2:2">
      <c r="B121" s="406" t="s">
        <v>1023</v>
      </c>
    </row>
    <row r="122" spans="2:2">
      <c r="B122" s="406" t="s">
        <v>1024</v>
      </c>
    </row>
    <row r="123" spans="2:2">
      <c r="B123" s="406" t="s">
        <v>1262</v>
      </c>
    </row>
    <row r="124" spans="2:2">
      <c r="B124" s="406" t="s">
        <v>1025</v>
      </c>
    </row>
    <row r="126" spans="2:2" ht="13">
      <c r="B126" s="225" t="s">
        <v>1258</v>
      </c>
    </row>
    <row r="127" spans="2:2">
      <c r="B127" s="406" t="s">
        <v>1029</v>
      </c>
    </row>
    <row r="128" spans="2:2">
      <c r="B128" s="406" t="s">
        <v>1259</v>
      </c>
    </row>
    <row r="130" spans="2:2" ht="13">
      <c r="B130" s="225" t="s">
        <v>1264</v>
      </c>
    </row>
    <row r="131" spans="2:2">
      <c r="B131" s="406" t="s">
        <v>1028</v>
      </c>
    </row>
    <row r="132" spans="2:2">
      <c r="B132" s="406" t="s">
        <v>1247</v>
      </c>
    </row>
    <row r="134" spans="2:2" ht="13">
      <c r="B134" s="225" t="s">
        <v>1248</v>
      </c>
    </row>
    <row r="135" spans="2:2">
      <c r="B135" s="406" t="s">
        <v>1249</v>
      </c>
    </row>
    <row r="136" spans="2:2">
      <c r="B136" s="406" t="s">
        <v>1027</v>
      </c>
    </row>
    <row r="138" spans="2:2" ht="13">
      <c r="B138" s="225" t="s">
        <v>1250</v>
      </c>
    </row>
    <row r="139" spans="2:2">
      <c r="B139" s="406" t="s">
        <v>1251</v>
      </c>
    </row>
    <row r="140" spans="2:2">
      <c r="B140" s="406" t="s">
        <v>1014</v>
      </c>
    </row>
    <row r="141" spans="2:2">
      <c r="B141" s="406" t="s">
        <v>1252</v>
      </c>
    </row>
    <row r="142" spans="2:2">
      <c r="B142" s="406" t="s">
        <v>1257</v>
      </c>
    </row>
    <row r="143" spans="2:2">
      <c r="B143" s="406" t="s">
        <v>1253</v>
      </c>
    </row>
    <row r="144" spans="2:2">
      <c r="B144" s="406" t="s">
        <v>1254</v>
      </c>
    </row>
    <row r="145" spans="2:4">
      <c r="B145" s="406" t="s">
        <v>1015</v>
      </c>
    </row>
    <row r="146" spans="2:4" s="398" customFormat="1">
      <c r="B146" s="406" t="s">
        <v>1011</v>
      </c>
      <c r="C146" s="412"/>
      <c r="D146" s="412"/>
    </row>
    <row r="147" spans="2:4" s="398" customFormat="1">
      <c r="B147" s="406" t="s">
        <v>1012</v>
      </c>
      <c r="C147" s="412"/>
      <c r="D147" s="412"/>
    </row>
    <row r="148" spans="2:4" s="398" customFormat="1">
      <c r="B148" s="406" t="s">
        <v>1013</v>
      </c>
      <c r="C148" s="412"/>
      <c r="D148" s="412"/>
    </row>
    <row r="149" spans="2:4" s="398" customFormat="1">
      <c r="B149" s="406" t="s">
        <v>1016</v>
      </c>
      <c r="C149" s="412"/>
      <c r="D149" s="412"/>
    </row>
    <row r="151" spans="2:4" ht="13">
      <c r="B151" s="225" t="s">
        <v>1255</v>
      </c>
    </row>
    <row r="152" spans="2:4">
      <c r="B152" s="406" t="s">
        <v>1017</v>
      </c>
    </row>
    <row r="153" spans="2:4">
      <c r="B153" s="406" t="s">
        <v>1018</v>
      </c>
    </row>
    <row r="154" spans="2:4">
      <c r="B154" s="406" t="s">
        <v>1260</v>
      </c>
    </row>
    <row r="156" spans="2:4" ht="13">
      <c r="B156" s="225" t="s">
        <v>1256</v>
      </c>
    </row>
    <row r="157" spans="2:4">
      <c r="B157" s="406" t="s">
        <v>1020</v>
      </c>
    </row>
    <row r="158" spans="2:4">
      <c r="B158" s="406" t="s">
        <v>1022</v>
      </c>
    </row>
    <row r="159" spans="2:4">
      <c r="B159" s="406" t="s">
        <v>1019</v>
      </c>
    </row>
    <row r="160" spans="2:4">
      <c r="B160" s="406" t="s">
        <v>1021</v>
      </c>
    </row>
    <row r="162" spans="2:3" ht="13">
      <c r="B162" s="225" t="s">
        <v>928</v>
      </c>
    </row>
    <row r="163" spans="2:3">
      <c r="B163" s="406" t="s">
        <v>929</v>
      </c>
    </row>
    <row r="164" spans="2:3">
      <c r="B164" s="406" t="s">
        <v>146</v>
      </c>
    </row>
    <row r="165" spans="2:3">
      <c r="B165" s="406" t="s">
        <v>148</v>
      </c>
    </row>
    <row r="166" spans="2:3">
      <c r="B166" s="406" t="s">
        <v>157</v>
      </c>
    </row>
    <row r="167" spans="2:3">
      <c r="B167" s="406" t="s">
        <v>930</v>
      </c>
    </row>
    <row r="168" spans="2:3">
      <c r="B168" s="406" t="s">
        <v>931</v>
      </c>
    </row>
    <row r="169" spans="2:3">
      <c r="B169" s="406" t="s">
        <v>932</v>
      </c>
    </row>
    <row r="171" spans="2:3" ht="13">
      <c r="B171" s="225" t="s">
        <v>933</v>
      </c>
      <c r="C171" s="225" t="s">
        <v>934</v>
      </c>
    </row>
    <row r="172" spans="2:3">
      <c r="B172" s="406" t="s">
        <v>935</v>
      </c>
      <c r="C172" s="406" t="s">
        <v>573</v>
      </c>
    </row>
    <row r="173" spans="2:3">
      <c r="B173" s="406" t="s">
        <v>936</v>
      </c>
      <c r="C173" s="406" t="s">
        <v>573</v>
      </c>
    </row>
    <row r="174" spans="2:3">
      <c r="B174" s="406" t="s">
        <v>937</v>
      </c>
      <c r="C174" s="406" t="s">
        <v>573</v>
      </c>
    </row>
    <row r="175" spans="2:3">
      <c r="B175" s="406" t="s">
        <v>938</v>
      </c>
      <c r="C175" s="406" t="s">
        <v>573</v>
      </c>
    </row>
    <row r="176" spans="2:3">
      <c r="B176" s="406" t="s">
        <v>939</v>
      </c>
      <c r="C176" s="406" t="s">
        <v>573</v>
      </c>
    </row>
    <row r="178" spans="2:2" ht="13">
      <c r="B178" s="225" t="s">
        <v>940</v>
      </c>
    </row>
    <row r="179" spans="2:2">
      <c r="B179" s="406" t="s">
        <v>941</v>
      </c>
    </row>
    <row r="180" spans="2:2">
      <c r="B180" s="406" t="s">
        <v>942</v>
      </c>
    </row>
    <row r="181" spans="2:2">
      <c r="B181" s="406" t="s">
        <v>943</v>
      </c>
    </row>
    <row r="183" spans="2:2" ht="13">
      <c r="B183" s="225" t="s">
        <v>492</v>
      </c>
    </row>
    <row r="184" spans="2:2">
      <c r="B184" s="406" t="s">
        <v>948</v>
      </c>
    </row>
    <row r="185" spans="2:2">
      <c r="B185" s="406" t="s">
        <v>366</v>
      </c>
    </row>
  </sheetData>
  <sheetProtection algorithmName="SHA-512" hashValue="h1HQRALnBJkYEuWinT3KNO81G2d3xXhkk657sTUqYzGLzAYOXNT9wNFd/FmEkgHp7FVkXAVZVsPs13AFdCf1YA==" saltValue="qlVUlapJfz4RvnVH41beYQ==" spinCount="100000" sheet="1" objects="1" scenarios="1" autoFilter="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812C7-E201-4C9D-B69A-55796E7D2B37}">
  <sheetPr codeName="Sheet3">
    <tabColor rgb="FFD9E1F2"/>
  </sheetPr>
  <dimension ref="B7:E211"/>
  <sheetViews>
    <sheetView zoomScale="85" zoomScaleNormal="85" workbookViewId="0">
      <pane ySplit="11" topLeftCell="A12" activePane="bottomLeft" state="frozen"/>
      <selection pane="bottomLeft"/>
    </sheetView>
  </sheetViews>
  <sheetFormatPr defaultColWidth="8.7265625" defaultRowHeight="12.5"/>
  <cols>
    <col min="1" max="1" width="4.81640625" style="227" customWidth="1"/>
    <col min="2" max="2" width="8.7265625" style="227"/>
    <col min="3" max="3" width="11.26953125" style="227" customWidth="1"/>
    <col min="4" max="16" width="8.7265625" style="227"/>
    <col min="17" max="17" width="8.7265625" style="227" customWidth="1"/>
    <col min="18" max="16384" width="8.7265625" style="227"/>
  </cols>
  <sheetData>
    <row r="7" spans="2:3" ht="18" customHeight="1">
      <c r="B7" s="226" t="str">
        <f>Project_Name</f>
        <v xml:space="preserve">South Australia Hydrogen and Renewable Energy Restoration Cost Estimation Tool </v>
      </c>
    </row>
    <row r="8" spans="2:3">
      <c r="B8" s="10" t="s">
        <v>31</v>
      </c>
      <c r="C8" s="228"/>
    </row>
    <row r="9" spans="2:3" ht="13">
      <c r="B9" s="229"/>
    </row>
    <row r="10" spans="2:3" ht="16.5" customHeight="1">
      <c r="B10" s="216" t="s">
        <v>32</v>
      </c>
      <c r="C10" s="216"/>
    </row>
    <row r="12" spans="2:3" ht="15.65" customHeight="1">
      <c r="B12" s="230" t="s">
        <v>33</v>
      </c>
      <c r="C12" s="231"/>
    </row>
    <row r="36" spans="2:5" ht="15.65" customHeight="1">
      <c r="B36" s="230" t="s">
        <v>34</v>
      </c>
      <c r="C36" s="231"/>
      <c r="D36" s="231"/>
      <c r="E36" s="231"/>
    </row>
    <row r="37" spans="2:5" ht="13">
      <c r="B37" s="229"/>
    </row>
    <row r="38" spans="2:5">
      <c r="B38" s="227" t="s">
        <v>35</v>
      </c>
    </row>
    <row r="39" spans="2:5">
      <c r="B39" s="232" t="s">
        <v>36</v>
      </c>
      <c r="C39" s="232"/>
      <c r="D39" s="233" t="s">
        <v>37</v>
      </c>
      <c r="E39" s="232" t="s">
        <v>38</v>
      </c>
    </row>
    <row r="40" spans="2:5">
      <c r="B40" s="11" t="s">
        <v>1326</v>
      </c>
      <c r="D40" s="227">
        <v>1</v>
      </c>
      <c r="E40" s="227" t="s">
        <v>39</v>
      </c>
    </row>
    <row r="41" spans="2:5">
      <c r="B41" s="11" t="s">
        <v>1326</v>
      </c>
      <c r="D41" s="227">
        <f>D40+1</f>
        <v>2</v>
      </c>
      <c r="E41" s="227" t="s">
        <v>40</v>
      </c>
    </row>
    <row r="42" spans="2:5">
      <c r="B42" s="11" t="s">
        <v>1326</v>
      </c>
      <c r="D42" s="227">
        <f t="shared" ref="D42:D43" si="0">D41+1</f>
        <v>3</v>
      </c>
      <c r="E42" s="227" t="s">
        <v>41</v>
      </c>
    </row>
    <row r="43" spans="2:5">
      <c r="B43" s="12" t="s">
        <v>1323</v>
      </c>
      <c r="D43" s="227">
        <f t="shared" si="0"/>
        <v>4</v>
      </c>
      <c r="E43" s="227" t="s">
        <v>1127</v>
      </c>
    </row>
    <row r="44" spans="2:5">
      <c r="B44" s="12" t="s">
        <v>1324</v>
      </c>
      <c r="E44" s="227" t="s">
        <v>1311</v>
      </c>
    </row>
    <row r="45" spans="2:5" ht="15.75" customHeight="1">
      <c r="B45" s="13" t="s">
        <v>15</v>
      </c>
    </row>
    <row r="46" spans="2:5" ht="14.25" customHeight="1">
      <c r="B46" s="13"/>
    </row>
    <row r="47" spans="2:5" ht="17.25" customHeight="1">
      <c r="B47" s="13"/>
    </row>
    <row r="48" spans="2:5" ht="82.5" customHeight="1">
      <c r="B48" s="13"/>
    </row>
    <row r="49" spans="2:5">
      <c r="E49" s="227" t="s">
        <v>1312</v>
      </c>
    </row>
    <row r="50" spans="2:5">
      <c r="D50" s="227">
        <f>D43+1</f>
        <v>5</v>
      </c>
      <c r="E50" s="227" t="s">
        <v>1313</v>
      </c>
    </row>
    <row r="51" spans="2:5" ht="137.25" customHeight="1"/>
    <row r="52" spans="2:5">
      <c r="D52" s="227">
        <f>D50+1</f>
        <v>6</v>
      </c>
      <c r="E52" s="227" t="s">
        <v>1314</v>
      </c>
    </row>
    <row r="53" spans="2:5" ht="139.5" customHeight="1"/>
    <row r="54" spans="2:5">
      <c r="D54" s="227">
        <f>D52+1</f>
        <v>7</v>
      </c>
      <c r="E54" s="227" t="s">
        <v>42</v>
      </c>
    </row>
    <row r="55" spans="2:5">
      <c r="D55" s="227">
        <f t="shared" ref="D55:D62" si="1">D54+1</f>
        <v>8</v>
      </c>
      <c r="E55" s="227" t="s">
        <v>43</v>
      </c>
    </row>
    <row r="56" spans="2:5">
      <c r="E56" s="227" t="s">
        <v>44</v>
      </c>
    </row>
    <row r="57" spans="2:5" ht="84.65" customHeight="1"/>
    <row r="58" spans="2:5">
      <c r="D58" s="227">
        <f>D55+1</f>
        <v>9</v>
      </c>
      <c r="E58" s="227" t="s">
        <v>1350</v>
      </c>
    </row>
    <row r="59" spans="2:5">
      <c r="E59" s="227" t="s">
        <v>45</v>
      </c>
    </row>
    <row r="60" spans="2:5">
      <c r="B60" s="12" t="s">
        <v>950</v>
      </c>
      <c r="D60" s="227">
        <f>D58+1</f>
        <v>10</v>
      </c>
      <c r="E60" s="227" t="s">
        <v>1315</v>
      </c>
    </row>
    <row r="61" spans="2:5">
      <c r="B61" s="11" t="s">
        <v>1326</v>
      </c>
      <c r="D61" s="227">
        <f>D60+1</f>
        <v>11</v>
      </c>
      <c r="E61" s="227" t="s">
        <v>46</v>
      </c>
    </row>
    <row r="62" spans="2:5">
      <c r="D62" s="227">
        <f t="shared" si="1"/>
        <v>12</v>
      </c>
      <c r="E62" s="227" t="s">
        <v>1351</v>
      </c>
    </row>
    <row r="63" spans="2:5">
      <c r="E63" s="227" t="s">
        <v>1318</v>
      </c>
    </row>
    <row r="65" spans="5:5">
      <c r="E65" s="234" t="s">
        <v>1352</v>
      </c>
    </row>
    <row r="66" spans="5:5">
      <c r="E66" s="227" t="s">
        <v>1353</v>
      </c>
    </row>
    <row r="84" spans="2:4" ht="15.65" customHeight="1">
      <c r="B84" s="235" t="s">
        <v>47</v>
      </c>
      <c r="C84" s="236"/>
      <c r="D84" s="236"/>
    </row>
    <row r="126" spans="2:3" ht="15.65" customHeight="1">
      <c r="B126" s="230" t="s">
        <v>48</v>
      </c>
      <c r="C126" s="236"/>
    </row>
    <row r="184" spans="2:3" ht="15.65" customHeight="1">
      <c r="B184" s="230" t="s">
        <v>49</v>
      </c>
      <c r="C184" s="236"/>
    </row>
    <row r="209" spans="2:4" ht="15.65" customHeight="1">
      <c r="B209" s="230" t="s">
        <v>1126</v>
      </c>
      <c r="C209" s="231"/>
      <c r="D209" s="236"/>
    </row>
    <row r="210" spans="2:4" ht="15" customHeight="1">
      <c r="B210" s="227">
        <v>1</v>
      </c>
      <c r="C210" s="227" t="s">
        <v>1045</v>
      </c>
    </row>
    <row r="211" spans="2:4" ht="15" customHeight="1">
      <c r="C211" s="227" t="s">
        <v>1046</v>
      </c>
    </row>
  </sheetData>
  <sheetProtection algorithmName="SHA-512" hashValue="S3peI67etl+6kJbHofU3e+153jUG3ugGVE8UaKmjyQ7SlnKOiD3W6Pz1xBx/WyWCUSt0jTdFfsXJYwppKlnpaw==" saltValue="Hv9gVnwbdgp1/eT+h2tyaw==" spinCount="100000" sheet="1" objects="1" scenarios="1" autoFilter="0"/>
  <hyperlinks>
    <hyperlink ref="B8" location="Information" display="Return to Information" xr:uid="{C892011E-4511-40E4-9487-0992E9F9E11E}"/>
    <hyperlink ref="B43" location="SOLAR" display="Solar" xr:uid="{5AAB9701-63E1-4120-A9FB-0AFEAEA21D28}"/>
    <hyperlink ref="B44" location="WIND" display="Wind" xr:uid="{C0832154-F6F9-4E31-9BB3-5E9346C9AF5F}"/>
    <hyperlink ref="B45" location="BESS" display="BESS" xr:uid="{49FC23AD-BE22-467C-94AE-88A5AAEC91E0}"/>
    <hyperlink ref="B60" location="SUMMARY" display="Summary" xr:uid="{A0EC1063-7084-490A-ABB5-2F37C1612691}"/>
    <hyperlink ref="B40" location="Information" display="Information" xr:uid="{A45F761A-EF12-4250-BF93-92B3E12B7564}"/>
    <hyperlink ref="B41" location="Information" display="Information" xr:uid="{3EF9955F-5F0B-4250-8291-F2F044F75360}"/>
    <hyperlink ref="B42" location="Information" display="Information" xr:uid="{AD9A1D63-9967-4023-A8F2-F31005D908C1}"/>
    <hyperlink ref="B61" location="Information" display="Information" xr:uid="{FDA8CD64-3DFA-446F-A4BA-DFFDE0CF6207}"/>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A79F0C-BB96-414C-A159-822035643E8D}">
  <sheetPr codeName="Sheet4">
    <tabColor theme="5"/>
  </sheetPr>
  <dimension ref="B2:J236"/>
  <sheetViews>
    <sheetView showGridLines="0" tabSelected="1" zoomScaleNormal="100" workbookViewId="0">
      <pane ySplit="7" topLeftCell="A8" activePane="bottomLeft" state="frozen"/>
      <selection pane="bottomLeft"/>
    </sheetView>
  </sheetViews>
  <sheetFormatPr defaultColWidth="8.7265625" defaultRowHeight="12.5"/>
  <cols>
    <col min="1" max="1" width="4.81640625" style="238" customWidth="1"/>
    <col min="2" max="2" width="53.453125" style="238" customWidth="1"/>
    <col min="3" max="3" width="11.1796875" style="238" bestFit="1" customWidth="1"/>
    <col min="4" max="4" width="13.81640625" style="238" bestFit="1" customWidth="1"/>
    <col min="5" max="5" width="11" style="238" customWidth="1"/>
    <col min="6" max="6" width="14.7265625" style="238" customWidth="1"/>
    <col min="7" max="7" width="3.81640625" style="238" customWidth="1"/>
    <col min="8" max="16384" width="8.7265625" style="238"/>
  </cols>
  <sheetData>
    <row r="2" spans="2:6" ht="13">
      <c r="B2" s="237" t="str">
        <f>Project_Name</f>
        <v xml:space="preserve">South Australia Hydrogen and Renewable Energy Restoration Cost Estimation Tool </v>
      </c>
    </row>
    <row r="3" spans="2:6">
      <c r="B3" s="4" t="s">
        <v>31</v>
      </c>
    </row>
    <row r="4" spans="2:6" ht="13">
      <c r="B4" s="237"/>
      <c r="F4" s="239"/>
    </row>
    <row r="5" spans="2:6" ht="13">
      <c r="B5" s="216" t="s">
        <v>9</v>
      </c>
      <c r="C5" s="216"/>
      <c r="D5" s="216"/>
      <c r="E5" s="216"/>
      <c r="F5" s="216"/>
    </row>
    <row r="6" spans="2:6" ht="3.75" customHeight="1">
      <c r="B6" s="2"/>
      <c r="C6" s="2"/>
      <c r="D6" s="2"/>
      <c r="E6" s="2"/>
      <c r="F6" s="2"/>
    </row>
    <row r="7" spans="2:6" ht="6" customHeight="1">
      <c r="B7" s="217"/>
      <c r="C7" s="217"/>
      <c r="D7" s="217"/>
      <c r="E7" s="217"/>
      <c r="F7" s="217"/>
    </row>
    <row r="8" spans="2:6" ht="21.75" customHeight="1">
      <c r="B8" s="240" t="str">
        <f>Solar!B8</f>
        <v>SOLAR</v>
      </c>
      <c r="C8" s="241" t="s">
        <v>275</v>
      </c>
      <c r="D8" s="241" t="s">
        <v>50</v>
      </c>
      <c r="E8" s="241" t="s">
        <v>51</v>
      </c>
      <c r="F8" s="241" t="s">
        <v>79</v>
      </c>
    </row>
    <row r="9" spans="2:6">
      <c r="B9" s="14" t="str">
        <f>Solar!B16</f>
        <v>Disconnect grid</v>
      </c>
      <c r="C9" s="15">
        <f>Solar!C23</f>
        <v>0</v>
      </c>
      <c r="D9" s="16">
        <f>Solar!I23</f>
        <v>0</v>
      </c>
      <c r="E9" s="242" t="str">
        <f>Solar!D23</f>
        <v xml:space="preserve">sites </v>
      </c>
      <c r="F9" s="17">
        <f>Solar!K23</f>
        <v>0</v>
      </c>
    </row>
    <row r="10" spans="2:6">
      <c r="B10" s="14" t="str">
        <f>Solar!B25</f>
        <v>Electrical cables</v>
      </c>
      <c r="C10" s="15">
        <f>Solar!C38</f>
        <v>0</v>
      </c>
      <c r="D10" s="16">
        <f>Solar!I38</f>
        <v>0</v>
      </c>
      <c r="E10" s="242" t="str">
        <f>Solar!D38</f>
        <v>km</v>
      </c>
      <c r="F10" s="17">
        <f>Solar!K38</f>
        <v>0</v>
      </c>
    </row>
    <row r="11" spans="2:6">
      <c r="B11" s="14" t="str">
        <f>Solar!B40</f>
        <v>Powerlines</v>
      </c>
      <c r="C11" s="15">
        <f>Solar!C44</f>
        <v>0</v>
      </c>
      <c r="D11" s="16">
        <f>Solar!I44</f>
        <v>0</v>
      </c>
      <c r="E11" s="242" t="str">
        <f>Solar!J42</f>
        <v>km</v>
      </c>
      <c r="F11" s="17">
        <f>Solar!K44</f>
        <v>0</v>
      </c>
    </row>
    <row r="12" spans="2:6">
      <c r="B12" s="14" t="str">
        <f>Solar!B46</f>
        <v>Meteorological masts and communications towers</v>
      </c>
      <c r="C12" s="15">
        <f>Solar!C51</f>
        <v>0</v>
      </c>
      <c r="D12" s="16">
        <f>Solar!I51</f>
        <v>0</v>
      </c>
      <c r="E12" s="242" t="str">
        <f>Solar!J51</f>
        <v>mast            total</v>
      </c>
      <c r="F12" s="17">
        <f>Solar!K51</f>
        <v>0</v>
      </c>
    </row>
    <row r="13" spans="2:6">
      <c r="B13" s="14" t="str">
        <f>Solar!B53</f>
        <v>Substations</v>
      </c>
      <c r="C13" s="15">
        <f>Solar!C61</f>
        <v>0</v>
      </c>
      <c r="D13" s="16">
        <f>Solar!I61</f>
        <v>0</v>
      </c>
      <c r="E13" s="242" t="str">
        <f>Solar!D61</f>
        <v>substations</v>
      </c>
      <c r="F13" s="17">
        <f>Solar!K61</f>
        <v>0</v>
      </c>
    </row>
    <row r="14" spans="2:6">
      <c r="B14" s="14" t="str">
        <f>Solar!B63</f>
        <v>Inverters and power conditioners</v>
      </c>
      <c r="C14" s="15">
        <f>Solar!C68</f>
        <v>0</v>
      </c>
      <c r="D14" s="16">
        <f>Solar!I68</f>
        <v>0</v>
      </c>
      <c r="E14" s="242" t="str">
        <f>Solar!D68</f>
        <v>units</v>
      </c>
      <c r="F14" s="17">
        <f>Solar!K68</f>
        <v>0</v>
      </c>
    </row>
    <row r="15" spans="2:6">
      <c r="B15" s="14" t="str">
        <f>Solar!B70</f>
        <v>Solar panels - removal and transport</v>
      </c>
      <c r="C15" s="15">
        <f>Solar!C78</f>
        <v>0</v>
      </c>
      <c r="D15" s="16">
        <f>Solar!I78</f>
        <v>0</v>
      </c>
      <c r="E15" s="242" t="str">
        <f>Solar!D78</f>
        <v>panels</v>
      </c>
      <c r="F15" s="17">
        <f>Solar!K78</f>
        <v>0</v>
      </c>
    </row>
    <row r="16" spans="2:6">
      <c r="B16" s="14" t="str">
        <f>Solar!B194</f>
        <v>Solar panel disposal</v>
      </c>
      <c r="C16" s="15">
        <f>Solar!C202</f>
        <v>0</v>
      </c>
      <c r="D16" s="16">
        <f>Solar!I202</f>
        <v>0</v>
      </c>
      <c r="E16" s="242" t="str">
        <f>Solar!D202</f>
        <v>panels</v>
      </c>
      <c r="F16" s="17">
        <f>Solar!K202</f>
        <v>0</v>
      </c>
    </row>
    <row r="17" spans="2:6">
      <c r="B17" s="14" t="str">
        <f>Solar!B204</f>
        <v>Solar panel recycling (cost - not scrap)</v>
      </c>
      <c r="C17" s="15">
        <f>Solar!C212</f>
        <v>0</v>
      </c>
      <c r="D17" s="16">
        <f>Solar!I212</f>
        <v>0</v>
      </c>
      <c r="E17" s="242" t="str">
        <f>Solar!D212</f>
        <v>panels</v>
      </c>
      <c r="F17" s="17">
        <f>Solar!K212</f>
        <v>0</v>
      </c>
    </row>
    <row r="18" spans="2:6">
      <c r="B18" s="14" t="str">
        <f>Solar!B80</f>
        <v>Tracks and roads</v>
      </c>
      <c r="C18" s="15">
        <f>Solar!C101</f>
        <v>0</v>
      </c>
      <c r="D18" s="16">
        <f>Solar!I101</f>
        <v>0</v>
      </c>
      <c r="E18" s="242" t="str">
        <f>Solar!D101</f>
        <v>ha</v>
      </c>
      <c r="F18" s="17">
        <f>Solar!K101</f>
        <v>0</v>
      </c>
    </row>
    <row r="19" spans="2:6">
      <c r="B19" s="14" t="str">
        <f>Solar!B103</f>
        <v>Laydown</v>
      </c>
      <c r="C19" s="15">
        <f>Solar!C115</f>
        <v>0</v>
      </c>
      <c r="D19" s="16">
        <f>Solar!I115</f>
        <v>0</v>
      </c>
      <c r="E19" s="242" t="str">
        <f>Solar!D115</f>
        <v>ha</v>
      </c>
      <c r="F19" s="17">
        <f>Solar!K115</f>
        <v>0</v>
      </c>
    </row>
    <row r="20" spans="2:6">
      <c r="B20" s="14" t="str">
        <f>Solar!B117</f>
        <v>Airstrips</v>
      </c>
      <c r="C20" s="15">
        <f>Solar!C122</f>
        <v>0</v>
      </c>
      <c r="D20" s="16">
        <f>Solar!I122</f>
        <v>0</v>
      </c>
      <c r="E20" s="242" t="str">
        <f>Solar!D122</f>
        <v>ha</v>
      </c>
      <c r="F20" s="17">
        <f>Solar!K122</f>
        <v>0</v>
      </c>
    </row>
    <row r="21" spans="2:6">
      <c r="B21" s="14" t="str">
        <f>Solar!B124</f>
        <v>Buildings by area</v>
      </c>
      <c r="C21" s="15">
        <f>Solar!C132</f>
        <v>0</v>
      </c>
      <c r="D21" s="16">
        <f>Solar!I132</f>
        <v>0</v>
      </c>
      <c r="E21" s="242" t="str">
        <f>Solar!D132</f>
        <v>m2</v>
      </c>
      <c r="F21" s="17">
        <f>Solar!K132</f>
        <v>0</v>
      </c>
    </row>
    <row r="22" spans="2:6">
      <c r="B22" s="14" t="str">
        <f>Solar!B134</f>
        <v>Buildings by number</v>
      </c>
      <c r="C22" s="15">
        <f>Solar!C142</f>
        <v>0</v>
      </c>
      <c r="D22" s="16">
        <f>Solar!I142</f>
        <v>0</v>
      </c>
      <c r="E22" s="242" t="str">
        <f>Solar!D142</f>
        <v>buildings</v>
      </c>
      <c r="F22" s="17">
        <f>Solar!K142</f>
        <v>0</v>
      </c>
    </row>
    <row r="23" spans="2:6">
      <c r="B23" s="14" t="str">
        <f>Solar!B144</f>
        <v>Land rehabilitation - growth media</v>
      </c>
      <c r="C23" s="15">
        <f>Solar!C162</f>
        <v>0</v>
      </c>
      <c r="D23" s="16">
        <f>Solar!I162</f>
        <v>0</v>
      </c>
      <c r="E23" s="242" t="str">
        <f>Solar!D162</f>
        <v>ha</v>
      </c>
      <c r="F23" s="17">
        <f>Solar!K162</f>
        <v>0</v>
      </c>
    </row>
    <row r="24" spans="2:6">
      <c r="B24" s="14" t="str">
        <f>Solar!B164</f>
        <v>Land rehabilitation - ameliorants</v>
      </c>
      <c r="C24" s="15">
        <f>Solar!C179</f>
        <v>0</v>
      </c>
      <c r="D24" s="16">
        <f>Solar!I179</f>
        <v>0</v>
      </c>
      <c r="E24" s="242" t="str">
        <f>Solar!D179</f>
        <v>ha</v>
      </c>
      <c r="F24" s="17">
        <f>Solar!K179</f>
        <v>0</v>
      </c>
    </row>
    <row r="25" spans="2:6">
      <c r="B25" s="14" t="str">
        <f>Solar!B181</f>
        <v>Land rehabilitation - revegetation</v>
      </c>
      <c r="C25" s="15">
        <f>Solar!C192</f>
        <v>0</v>
      </c>
      <c r="D25" s="16">
        <f>Solar!I192</f>
        <v>0</v>
      </c>
      <c r="E25" s="242" t="str">
        <f>Solar!D192</f>
        <v>ha</v>
      </c>
      <c r="F25" s="17">
        <f>Solar!K192</f>
        <v>0</v>
      </c>
    </row>
    <row r="26" spans="2:6">
      <c r="B26" s="14" t="str">
        <f>Solar!B214</f>
        <v>Concrete crushing</v>
      </c>
      <c r="C26" s="15">
        <f>Solar!C230</f>
        <v>0</v>
      </c>
      <c r="D26" s="16">
        <f>Solar!I230</f>
        <v>0</v>
      </c>
      <c r="E26" s="242" t="str">
        <f>Solar!D228</f>
        <v>m3</v>
      </c>
      <c r="F26" s="17">
        <f>Solar!K230</f>
        <v>0</v>
      </c>
    </row>
    <row r="27" spans="2:6">
      <c r="B27" s="14" t="str">
        <f>Solar!B233</f>
        <v>Disposal of construction debris including concrete not part of items above</v>
      </c>
      <c r="C27" s="15">
        <f>Solar!C241</f>
        <v>0</v>
      </c>
      <c r="D27" s="16">
        <f>Solar!I241</f>
        <v>0</v>
      </c>
      <c r="E27" s="242" t="str">
        <f>Solar!D241</f>
        <v>t</v>
      </c>
      <c r="F27" s="17">
        <f>Solar!K241</f>
        <v>0</v>
      </c>
    </row>
    <row r="28" spans="2:6">
      <c r="B28" s="14" t="str">
        <f>Solar!B243</f>
        <v>Disposal of steel not part of items above</v>
      </c>
      <c r="C28" s="15">
        <f>Solar!C251</f>
        <v>0</v>
      </c>
      <c r="D28" s="16">
        <f>Solar!I251</f>
        <v>0</v>
      </c>
      <c r="E28" s="242" t="str">
        <f>Solar!D251</f>
        <v>t</v>
      </c>
      <c r="F28" s="17">
        <f>Solar!K251</f>
        <v>0</v>
      </c>
    </row>
    <row r="29" spans="2:6">
      <c r="B29" s="14" t="str">
        <f>Solar!B253</f>
        <v>Disposal of soil (by mass)</v>
      </c>
      <c r="C29" s="15">
        <f>Solar!C261</f>
        <v>0</v>
      </c>
      <c r="D29" s="16">
        <f>Solar!I261</f>
        <v>0</v>
      </c>
      <c r="E29" s="242" t="str">
        <f>Solar!D261</f>
        <v>t</v>
      </c>
      <c r="F29" s="17">
        <f>Solar!K261</f>
        <v>0</v>
      </c>
    </row>
    <row r="30" spans="2:6">
      <c r="B30" s="14" t="str">
        <f>Solar!B263</f>
        <v>Mobilisation</v>
      </c>
      <c r="C30" s="15">
        <f>Solar!C269</f>
        <v>0</v>
      </c>
      <c r="D30" s="16">
        <f>Solar!I269</f>
        <v>0</v>
      </c>
      <c r="E30" s="242" t="str">
        <f>Solar!D269</f>
        <v>fleets</v>
      </c>
      <c r="F30" s="17">
        <f>Solar!K269</f>
        <v>0</v>
      </c>
    </row>
    <row r="31" spans="2:6">
      <c r="B31" s="14" t="str">
        <f>Solar!B271</f>
        <v>Reporting and documentation</v>
      </c>
      <c r="C31" s="15">
        <f>Solar!C279</f>
        <v>0</v>
      </c>
      <c r="D31" s="16">
        <f>Solar!I279</f>
        <v>0</v>
      </c>
      <c r="E31" s="242" t="str">
        <f>Solar!D279</f>
        <v>items</v>
      </c>
      <c r="F31" s="17">
        <f>Solar!K279</f>
        <v>0</v>
      </c>
    </row>
    <row r="32" spans="2:6">
      <c r="B32" s="14" t="str">
        <f>Solar!B292</f>
        <v>Project costs</v>
      </c>
      <c r="C32" s="15">
        <f>Solar!C298</f>
        <v>0</v>
      </c>
      <c r="D32" s="16">
        <f>Solar!I298</f>
        <v>0</v>
      </c>
      <c r="E32" s="242" t="str">
        <f>IF(Solar!D298="","",Solar!D298)</f>
        <v/>
      </c>
      <c r="F32" s="17">
        <f>Solar!K298</f>
        <v>0</v>
      </c>
    </row>
    <row r="33" spans="2:6">
      <c r="B33" s="14" t="str">
        <f>Solar!B281</f>
        <v>User entered additional items</v>
      </c>
      <c r="C33" s="15">
        <f>Solar!C290</f>
        <v>0</v>
      </c>
      <c r="D33" s="16">
        <f>Solar!I290</f>
        <v>0</v>
      </c>
      <c r="E33" s="242">
        <f>IF(Solar!D290="","",Solar!D290)</f>
        <v>0</v>
      </c>
      <c r="F33" s="17">
        <f>Solar!K290</f>
        <v>0</v>
      </c>
    </row>
    <row r="34" spans="2:6" ht="13.5" customHeight="1">
      <c r="F34" s="243"/>
    </row>
    <row r="35" spans="2:6" ht="13">
      <c r="B35" s="244" t="s">
        <v>1055</v>
      </c>
      <c r="C35" s="245"/>
      <c r="D35" s="245"/>
      <c r="E35" s="246"/>
      <c r="F35" s="247"/>
    </row>
    <row r="36" spans="2:6" ht="13.5" thickBot="1">
      <c r="B36" s="18" t="s">
        <v>52</v>
      </c>
      <c r="E36" s="248"/>
      <c r="F36" s="19">
        <f>SUM(F8:F34)</f>
        <v>0</v>
      </c>
    </row>
    <row r="37" spans="2:6">
      <c r="B37" s="14" t="s">
        <v>55</v>
      </c>
      <c r="E37" s="248"/>
      <c r="F37" s="20">
        <f>SUM(F9:F22,F26:F33)</f>
        <v>0</v>
      </c>
    </row>
    <row r="38" spans="2:6">
      <c r="B38" s="14" t="s">
        <v>1174</v>
      </c>
      <c r="E38" s="248"/>
      <c r="F38" s="21">
        <f>SUM(F15:F17)</f>
        <v>0</v>
      </c>
    </row>
    <row r="39" spans="2:6">
      <c r="B39" s="18" t="s">
        <v>63</v>
      </c>
      <c r="C39" s="15">
        <f>Solar!C$12</f>
        <v>0</v>
      </c>
      <c r="D39" s="238" t="s">
        <v>64</v>
      </c>
      <c r="E39" s="248" t="s">
        <v>1048</v>
      </c>
      <c r="F39" s="21">
        <f>IF(C39=0,0,F$36/C39)</f>
        <v>0</v>
      </c>
    </row>
    <row r="40" spans="2:6">
      <c r="B40" s="14" t="s">
        <v>1050</v>
      </c>
      <c r="C40" s="15">
        <f>Solar!C$14</f>
        <v>0</v>
      </c>
      <c r="D40" s="238" t="s">
        <v>69</v>
      </c>
      <c r="E40" s="248" t="s">
        <v>1176</v>
      </c>
      <c r="F40" s="21">
        <f t="shared" ref="F40:F41" si="0">IF(C40=0,0,F$36/C40)</f>
        <v>0</v>
      </c>
    </row>
    <row r="41" spans="2:6">
      <c r="B41" s="14" t="s">
        <v>1051</v>
      </c>
      <c r="C41" s="15">
        <f>Solar!C$11</f>
        <v>0</v>
      </c>
      <c r="D41" s="238" t="s">
        <v>1052</v>
      </c>
      <c r="E41" s="248" t="s">
        <v>1049</v>
      </c>
      <c r="F41" s="21">
        <f t="shared" si="0"/>
        <v>0</v>
      </c>
    </row>
    <row r="42" spans="2:6">
      <c r="B42" s="14" t="s">
        <v>1175</v>
      </c>
      <c r="C42" s="22"/>
      <c r="E42" s="248"/>
      <c r="F42" s="20">
        <f>IF(C40=0,0,IF(C40-0,0,F38/C40))</f>
        <v>0</v>
      </c>
    </row>
    <row r="43" spans="2:6" ht="13">
      <c r="E43" s="249"/>
      <c r="F43" s="249"/>
    </row>
    <row r="44" spans="2:6" ht="13">
      <c r="B44" s="244" t="s">
        <v>53</v>
      </c>
      <c r="C44" s="245"/>
      <c r="D44" s="245"/>
      <c r="E44" s="246"/>
      <c r="F44" s="247"/>
    </row>
    <row r="45" spans="2:6" ht="13.5" thickBot="1">
      <c r="B45" s="14" t="s">
        <v>52</v>
      </c>
      <c r="F45" s="19">
        <f>SUM(F46:F48)</f>
        <v>0</v>
      </c>
    </row>
    <row r="46" spans="2:6">
      <c r="B46" s="14" t="str">
        <f>Solar!B301</f>
        <v>Panels</v>
      </c>
      <c r="C46" s="15">
        <f>Solar!C$14</f>
        <v>0</v>
      </c>
      <c r="D46" s="23">
        <f>Solar!I310</f>
        <v>0</v>
      </c>
      <c r="E46" s="242" t="str">
        <f>Solar!J310</f>
        <v>panel           total</v>
      </c>
      <c r="F46" s="17">
        <f>Solar!K310</f>
        <v>0</v>
      </c>
    </row>
    <row r="47" spans="2:6">
      <c r="B47" s="14" t="str">
        <f>Solar!B312</f>
        <v>Frames</v>
      </c>
      <c r="C47" s="15">
        <f>Solar!C$14</f>
        <v>0</v>
      </c>
      <c r="D47" s="23">
        <f>Solar!I315</f>
        <v>0</v>
      </c>
      <c r="E47" s="242" t="str">
        <f>Solar!J315</f>
        <v>panel           total</v>
      </c>
      <c r="F47" s="17">
        <f>Solar!K315</f>
        <v>0</v>
      </c>
    </row>
    <row r="48" spans="2:6">
      <c r="B48" s="14" t="str">
        <f>Solar!B317</f>
        <v>Cables</v>
      </c>
      <c r="C48" s="15">
        <f>Solar!C$14</f>
        <v>0</v>
      </c>
      <c r="D48" s="23">
        <f>Solar!I330</f>
        <v>0</v>
      </c>
      <c r="E48" s="242" t="str">
        <f>Solar!J330</f>
        <v>panel           total</v>
      </c>
      <c r="F48" s="17">
        <f>Solar!K330</f>
        <v>0</v>
      </c>
    </row>
    <row r="50" spans="2:6" ht="13">
      <c r="B50" s="244" t="s">
        <v>1056</v>
      </c>
      <c r="C50" s="245"/>
      <c r="D50" s="245"/>
      <c r="E50" s="246"/>
      <c r="F50" s="247"/>
    </row>
    <row r="51" spans="2:6" ht="13.5" thickBot="1">
      <c r="B51" s="14" t="s">
        <v>52</v>
      </c>
      <c r="E51" s="248"/>
      <c r="F51" s="19">
        <f>F36-F45</f>
        <v>0</v>
      </c>
    </row>
    <row r="52" spans="2:6">
      <c r="B52" s="14" t="s">
        <v>63</v>
      </c>
      <c r="C52" s="15">
        <f>Solar!C$12</f>
        <v>0</v>
      </c>
      <c r="D52" s="238" t="s">
        <v>64</v>
      </c>
      <c r="E52" s="248" t="s">
        <v>1048</v>
      </c>
      <c r="F52" s="17">
        <f>IF(C52=0,0,F$51/C52)</f>
        <v>0</v>
      </c>
    </row>
    <row r="53" spans="2:6">
      <c r="B53" s="14" t="s">
        <v>1053</v>
      </c>
      <c r="C53" s="15">
        <f>Solar!C$14</f>
        <v>0</v>
      </c>
      <c r="D53" s="238" t="s">
        <v>69</v>
      </c>
      <c r="E53" s="248" t="s">
        <v>1176</v>
      </c>
      <c r="F53" s="17">
        <f>IF(C53=0,0,F$51/C53)</f>
        <v>0</v>
      </c>
    </row>
    <row r="54" spans="2:6">
      <c r="B54" s="14" t="s">
        <v>1051</v>
      </c>
      <c r="C54" s="15">
        <f>Solar!C$11</f>
        <v>0</v>
      </c>
      <c r="D54" s="238" t="s">
        <v>1052</v>
      </c>
      <c r="E54" s="248" t="s">
        <v>1049</v>
      </c>
      <c r="F54" s="17">
        <f>IF(C54=0,0,F$51/C54)</f>
        <v>0</v>
      </c>
    </row>
    <row r="55" spans="2:6" ht="13" thickBot="1"/>
    <row r="56" spans="2:6" ht="14" thickTop="1" thickBot="1">
      <c r="B56" s="250"/>
      <c r="E56" s="248" t="s">
        <v>1057</v>
      </c>
      <c r="F56" s="24">
        <f>Solar!K2-F36</f>
        <v>0</v>
      </c>
    </row>
    <row r="57" spans="2:6" ht="14" thickTop="1" thickBot="1">
      <c r="E57" s="248" t="s">
        <v>1058</v>
      </c>
      <c r="F57" s="24">
        <f>Solar!K4-F45</f>
        <v>0</v>
      </c>
    </row>
    <row r="58" spans="2:6" ht="14" thickTop="1" thickBot="1">
      <c r="E58" s="248" t="s">
        <v>1059</v>
      </c>
      <c r="F58" s="24">
        <f>Solar!K6-F51</f>
        <v>0</v>
      </c>
    </row>
    <row r="59" spans="2:6" ht="13" thickTop="1">
      <c r="B59" s="251"/>
      <c r="C59" s="251"/>
      <c r="D59" s="251"/>
      <c r="E59" s="251"/>
      <c r="F59" s="251"/>
    </row>
    <row r="61" spans="2:6" ht="21" customHeight="1">
      <c r="B61" s="252" t="str">
        <f>Wind!B8</f>
        <v>WIND</v>
      </c>
      <c r="C61" s="253" t="str">
        <f>C8</f>
        <v>Quantity</v>
      </c>
      <c r="D61" s="253" t="str">
        <f>D8</f>
        <v>Rate</v>
      </c>
      <c r="E61" s="253" t="str">
        <f>E8</f>
        <v>Unit</v>
      </c>
      <c r="F61" s="241" t="str">
        <f>F8</f>
        <v>Totals</v>
      </c>
    </row>
    <row r="62" spans="2:6">
      <c r="B62" s="18" t="str">
        <f>Wind!B16</f>
        <v>Disconnect grid</v>
      </c>
      <c r="C62" s="25">
        <f>Wind!C24</f>
        <v>0</v>
      </c>
      <c r="D62" s="26">
        <f>Wind!I24</f>
        <v>0</v>
      </c>
      <c r="E62" s="254" t="str">
        <f>Wind!D24</f>
        <v xml:space="preserve">sites </v>
      </c>
      <c r="F62" s="27">
        <f>Wind!K24</f>
        <v>0</v>
      </c>
    </row>
    <row r="63" spans="2:6">
      <c r="B63" s="14" t="str">
        <f>Wind!B26</f>
        <v>Electrical cables</v>
      </c>
      <c r="C63" s="15">
        <f>Wind!C38</f>
        <v>0</v>
      </c>
      <c r="D63" s="16">
        <f>Wind!I38</f>
        <v>0</v>
      </c>
      <c r="E63" s="242" t="str">
        <f>Wind!D38</f>
        <v>km</v>
      </c>
      <c r="F63" s="17">
        <f>Wind!K38</f>
        <v>0</v>
      </c>
    </row>
    <row r="64" spans="2:6">
      <c r="B64" s="14" t="str">
        <f>Wind!B40</f>
        <v>Powerlines</v>
      </c>
      <c r="C64" s="15">
        <f>Wind!I38</f>
        <v>0</v>
      </c>
      <c r="D64" s="16">
        <f>Wind!I44</f>
        <v>0</v>
      </c>
      <c r="E64" s="242" t="str">
        <f>Wind!J44</f>
        <v>km               total</v>
      </c>
      <c r="F64" s="17">
        <f>Wind!K44</f>
        <v>0</v>
      </c>
    </row>
    <row r="65" spans="2:6">
      <c r="B65" s="14" t="str">
        <f>Wind!B46</f>
        <v>Meteorological masts</v>
      </c>
      <c r="C65" s="15">
        <f>Wind!C50</f>
        <v>0</v>
      </c>
      <c r="D65" s="16">
        <f>Wind!I50</f>
        <v>0</v>
      </c>
      <c r="E65" s="242" t="str">
        <f>Wind!J50</f>
        <v>mast            total</v>
      </c>
      <c r="F65" s="17">
        <f>Wind!K50</f>
        <v>0</v>
      </c>
    </row>
    <row r="66" spans="2:6">
      <c r="B66" s="14" t="str">
        <f>Wind!B52</f>
        <v>Substations</v>
      </c>
      <c r="C66" s="15">
        <f>Wind!C61</f>
        <v>0</v>
      </c>
      <c r="D66" s="16">
        <f>Wind!I61</f>
        <v>0</v>
      </c>
      <c r="E66" s="242" t="str">
        <f>Wind!D61</f>
        <v>substations</v>
      </c>
      <c r="F66" s="17">
        <f>Wind!K61</f>
        <v>0</v>
      </c>
    </row>
    <row r="67" spans="2:6">
      <c r="B67" s="14" t="str">
        <f>Wind!B63</f>
        <v>Converters and power conditioners</v>
      </c>
      <c r="C67" s="15">
        <f>Wind!C68</f>
        <v>0</v>
      </c>
      <c r="D67" s="16">
        <f>Wind!I68</f>
        <v>0</v>
      </c>
      <c r="E67" s="242" t="str">
        <f>Wind!D68</f>
        <v>units</v>
      </c>
      <c r="F67" s="17">
        <f>Wind!K68</f>
        <v>0</v>
      </c>
    </row>
    <row r="68" spans="2:6">
      <c r="B68" s="14" t="str">
        <f>Wind!B70</f>
        <v>Wind turbines - gearbox oil</v>
      </c>
      <c r="C68" s="15">
        <f>Wind!C79</f>
        <v>0</v>
      </c>
      <c r="D68" s="16">
        <f>Wind!I79</f>
        <v>0</v>
      </c>
      <c r="E68" s="242" t="str">
        <f>Wind!D79</f>
        <v>kL</v>
      </c>
      <c r="F68" s="17">
        <f>Wind!K79</f>
        <v>0</v>
      </c>
    </row>
    <row r="69" spans="2:6">
      <c r="B69" s="14" t="str">
        <f>Wind!B82</f>
        <v>Wind turbines - rotor (blades and hub)</v>
      </c>
      <c r="C69" s="15">
        <f>Wind!C94</f>
        <v>0</v>
      </c>
      <c r="D69" s="16">
        <f>Wind!I94</f>
        <v>0</v>
      </c>
      <c r="E69" s="242" t="str">
        <f>Wind!D94</f>
        <v>rotors</v>
      </c>
      <c r="F69" s="17">
        <f>Wind!K94</f>
        <v>0</v>
      </c>
    </row>
    <row r="70" spans="2:6">
      <c r="B70" s="14" t="str">
        <f>Wind!B96</f>
        <v>Wind turbines - nacelle</v>
      </c>
      <c r="C70" s="15">
        <f>Wind!C107</f>
        <v>0</v>
      </c>
      <c r="D70" s="16">
        <f>Wind!I107</f>
        <v>0</v>
      </c>
      <c r="E70" s="242" t="str">
        <f>Wind!D107</f>
        <v>nacelles</v>
      </c>
      <c r="F70" s="17">
        <f>Wind!K107</f>
        <v>0</v>
      </c>
    </row>
    <row r="71" spans="2:6">
      <c r="B71" s="14" t="str">
        <f>Wind!B109</f>
        <v>Wind turbines - tower</v>
      </c>
      <c r="C71" s="15">
        <f>Wind!C121</f>
        <v>0</v>
      </c>
      <c r="D71" s="16">
        <f>Wind!I121</f>
        <v>0</v>
      </c>
      <c r="E71" s="242" t="str">
        <f>Wind!D121</f>
        <v>m</v>
      </c>
      <c r="F71" s="17">
        <f>Wind!K121</f>
        <v>0</v>
      </c>
    </row>
    <row r="72" spans="2:6">
      <c r="B72" s="14" t="str">
        <f>Wind!B123</f>
        <v>Wind turbines - foundations</v>
      </c>
      <c r="C72" s="15">
        <f>Wind!C136</f>
        <v>0</v>
      </c>
      <c r="D72" s="16">
        <f>Wind!I136</f>
        <v>0</v>
      </c>
      <c r="E72" s="242" t="str">
        <f>Wind!J136</f>
        <v>t                  total</v>
      </c>
      <c r="F72" s="17">
        <f>Wind!K136</f>
        <v>0</v>
      </c>
    </row>
    <row r="73" spans="2:6">
      <c r="B73" s="14" t="str">
        <f>Wind!B138</f>
        <v>Tracks and roads</v>
      </c>
      <c r="C73" s="15">
        <f>Wind!C159</f>
        <v>0</v>
      </c>
      <c r="D73" s="16">
        <f>Wind!I159</f>
        <v>0</v>
      </c>
      <c r="E73" s="242" t="str">
        <f>Wind!D159</f>
        <v>ha</v>
      </c>
      <c r="F73" s="17">
        <f>Wind!K159</f>
        <v>0</v>
      </c>
    </row>
    <row r="74" spans="2:6">
      <c r="B74" s="14" t="str">
        <f>Wind!B161</f>
        <v>Laydown</v>
      </c>
      <c r="C74" s="15">
        <f>Wind!C174</f>
        <v>0</v>
      </c>
      <c r="D74" s="16">
        <f>Wind!I181</f>
        <v>0</v>
      </c>
      <c r="E74" s="242" t="str">
        <f>Wind!D174</f>
        <v>ha</v>
      </c>
      <c r="F74" s="17">
        <f>Wind!K174</f>
        <v>0</v>
      </c>
    </row>
    <row r="75" spans="2:6">
      <c r="B75" s="14" t="str">
        <f>Wind!B176</f>
        <v>Airstrips</v>
      </c>
      <c r="C75" s="15">
        <f>Wind!C181</f>
        <v>0</v>
      </c>
      <c r="D75" s="16">
        <f>Wind!I181</f>
        <v>0</v>
      </c>
      <c r="E75" s="242" t="str">
        <f>Wind!D181</f>
        <v>ha</v>
      </c>
      <c r="F75" s="17">
        <f>Wind!K181</f>
        <v>0</v>
      </c>
    </row>
    <row r="76" spans="2:6">
      <c r="B76" s="14" t="str">
        <f>Wind!B183</f>
        <v>Buildings by area</v>
      </c>
      <c r="C76" s="15">
        <f>Wind!C191</f>
        <v>0</v>
      </c>
      <c r="D76" s="16">
        <f>Wind!I191</f>
        <v>0</v>
      </c>
      <c r="E76" s="242" t="str">
        <f>Wind!D191</f>
        <v>m2</v>
      </c>
      <c r="F76" s="17">
        <f>Wind!K191</f>
        <v>0</v>
      </c>
    </row>
    <row r="77" spans="2:6">
      <c r="B77" s="14" t="str">
        <f>Wind!B193</f>
        <v>Buildings by number</v>
      </c>
      <c r="C77" s="15">
        <f>Wind!C201</f>
        <v>0</v>
      </c>
      <c r="D77" s="16">
        <f>Wind!I201</f>
        <v>0</v>
      </c>
      <c r="E77" s="242" t="str">
        <f>Wind!D201</f>
        <v>buildings</v>
      </c>
      <c r="F77" s="17">
        <f>Wind!K201</f>
        <v>0</v>
      </c>
    </row>
    <row r="78" spans="2:6">
      <c r="B78" s="14" t="str">
        <f>Wind!B203</f>
        <v>Land rehabilitation - growth media</v>
      </c>
      <c r="C78" s="15">
        <f>Wind!C221</f>
        <v>0</v>
      </c>
      <c r="D78" s="16">
        <f>Wind!I221</f>
        <v>0</v>
      </c>
      <c r="E78" s="242" t="str">
        <f>Wind!D221</f>
        <v>ha</v>
      </c>
      <c r="F78" s="17">
        <f>Wind!K221</f>
        <v>0</v>
      </c>
    </row>
    <row r="79" spans="2:6">
      <c r="B79" s="14" t="str">
        <f>Wind!B223</f>
        <v>Land rehabilitation - ameliorants</v>
      </c>
      <c r="C79" s="15">
        <f>Wind!C238</f>
        <v>0</v>
      </c>
      <c r="D79" s="16">
        <f>Wind!I238</f>
        <v>0</v>
      </c>
      <c r="E79" s="242" t="str">
        <f>Wind!D238</f>
        <v>ha</v>
      </c>
      <c r="F79" s="17">
        <f>Wind!K238</f>
        <v>0</v>
      </c>
    </row>
    <row r="80" spans="2:6">
      <c r="B80" s="14" t="str">
        <f>Wind!B240</f>
        <v>Land rehabilitation - revegetation</v>
      </c>
      <c r="C80" s="15">
        <f>Wind!C251</f>
        <v>0</v>
      </c>
      <c r="D80" s="16">
        <f>Wind!I251</f>
        <v>0</v>
      </c>
      <c r="E80" s="242" t="str">
        <f>Wind!D251</f>
        <v>ha</v>
      </c>
      <c r="F80" s="17">
        <f>Wind!K251</f>
        <v>0</v>
      </c>
    </row>
    <row r="81" spans="2:6">
      <c r="B81" s="14" t="str">
        <f>Wind!B253</f>
        <v>Concrete crushing</v>
      </c>
      <c r="C81" s="15">
        <f>Wind!C265</f>
        <v>0</v>
      </c>
      <c r="D81" s="16">
        <f>Wind!I265</f>
        <v>0</v>
      </c>
      <c r="E81" s="242" t="str">
        <f>Wind!J265</f>
        <v>m3               total</v>
      </c>
      <c r="F81" s="17">
        <f>Wind!K265</f>
        <v>0</v>
      </c>
    </row>
    <row r="82" spans="2:6">
      <c r="B82" s="14" t="str">
        <f>Wind!B268</f>
        <v>Disposal of construction debris including concrete of items not included above (by mass)</v>
      </c>
      <c r="C82" s="15">
        <f>Wind!C276</f>
        <v>0</v>
      </c>
      <c r="D82" s="16">
        <f>Wind!I276</f>
        <v>0</v>
      </c>
      <c r="E82" s="242" t="str">
        <f>Wind!D276</f>
        <v>t</v>
      </c>
      <c r="F82" s="17">
        <f>Wind!K276</f>
        <v>0</v>
      </c>
    </row>
    <row r="83" spans="2:6">
      <c r="B83" s="14" t="str">
        <f>Wind!B278</f>
        <v>Disposal of steel of items not included above (by mass)</v>
      </c>
      <c r="C83" s="15">
        <f>Wind!C286</f>
        <v>0</v>
      </c>
      <c r="D83" s="16">
        <f>Wind!I286</f>
        <v>0</v>
      </c>
      <c r="E83" s="242" t="str">
        <f>Wind!D286</f>
        <v>t</v>
      </c>
      <c r="F83" s="17">
        <f>Wind!K286</f>
        <v>0</v>
      </c>
    </row>
    <row r="84" spans="2:6">
      <c r="B84" s="14" t="str">
        <f>Wind!B288</f>
        <v>Disposal of contaminated soil (by mass)</v>
      </c>
      <c r="C84" s="15">
        <f>Wind!C296</f>
        <v>0</v>
      </c>
      <c r="D84" s="16">
        <f>Wind!I296</f>
        <v>0</v>
      </c>
      <c r="E84" s="242" t="str">
        <f>Wind!D296</f>
        <v>t</v>
      </c>
      <c r="F84" s="17">
        <f>Wind!K296</f>
        <v>0</v>
      </c>
    </row>
    <row r="85" spans="2:6">
      <c r="B85" s="14" t="str">
        <f>Wind!B298</f>
        <v>Mobilisation</v>
      </c>
      <c r="C85" s="15">
        <f>Wind!C304</f>
        <v>0</v>
      </c>
      <c r="D85" s="16">
        <f>Wind!I304</f>
        <v>0</v>
      </c>
      <c r="E85" s="242" t="str">
        <f>Wind!D304</f>
        <v>fleets</v>
      </c>
      <c r="F85" s="17">
        <f>Wind!K304</f>
        <v>0</v>
      </c>
    </row>
    <row r="86" spans="2:6">
      <c r="B86" s="14" t="str">
        <f>Wind!B306</f>
        <v>Reporting and documentation</v>
      </c>
      <c r="C86" s="15">
        <f>Wind!C315</f>
        <v>0</v>
      </c>
      <c r="D86" s="16">
        <f>Wind!I315</f>
        <v>0</v>
      </c>
      <c r="E86" s="242" t="str">
        <f>Wind!D315</f>
        <v>items</v>
      </c>
      <c r="F86" s="17">
        <f>Wind!K315</f>
        <v>0</v>
      </c>
    </row>
    <row r="87" spans="2:6">
      <c r="B87" s="14" t="str">
        <f>Wind!B329</f>
        <v>Project costs</v>
      </c>
      <c r="C87" s="15">
        <f>Wind!C335</f>
        <v>0</v>
      </c>
      <c r="D87" s="16">
        <f>Wind!I335</f>
        <v>0</v>
      </c>
      <c r="E87" s="242"/>
      <c r="F87" s="17">
        <f>Wind!K335</f>
        <v>0</v>
      </c>
    </row>
    <row r="88" spans="2:6">
      <c r="B88" s="14" t="str">
        <f>Wind!B318</f>
        <v>User entered additional items</v>
      </c>
      <c r="C88" s="15">
        <f>Wind!C327</f>
        <v>0</v>
      </c>
      <c r="D88" s="16">
        <f>Wind!I328</f>
        <v>0</v>
      </c>
      <c r="E88" s="255">
        <f>Wind!D327</f>
        <v>0</v>
      </c>
      <c r="F88" s="17">
        <f>Wind!K327</f>
        <v>0</v>
      </c>
    </row>
    <row r="89" spans="2:6" ht="13">
      <c r="E89" s="249"/>
      <c r="F89" s="243"/>
    </row>
    <row r="90" spans="2:6" ht="13">
      <c r="B90" s="244" t="s">
        <v>1055</v>
      </c>
      <c r="C90" s="245"/>
      <c r="D90" s="245"/>
      <c r="E90" s="246"/>
      <c r="F90" s="247"/>
    </row>
    <row r="91" spans="2:6" ht="13.5" thickBot="1">
      <c r="B91" s="14" t="s">
        <v>52</v>
      </c>
      <c r="E91" s="249"/>
      <c r="F91" s="19">
        <f>SUM(F61:F89)</f>
        <v>0</v>
      </c>
    </row>
    <row r="92" spans="2:6" ht="13">
      <c r="B92" s="14" t="s">
        <v>55</v>
      </c>
      <c r="E92" s="249"/>
      <c r="F92" s="17">
        <f>SUM(F62:F77,F82:F88)</f>
        <v>0</v>
      </c>
    </row>
    <row r="93" spans="2:6" ht="13">
      <c r="B93" s="14" t="s">
        <v>1060</v>
      </c>
      <c r="E93" s="249"/>
      <c r="F93" s="20">
        <f>SUM(F68:F72)</f>
        <v>0</v>
      </c>
    </row>
    <row r="94" spans="2:6">
      <c r="B94" s="14" t="s">
        <v>63</v>
      </c>
      <c r="C94" s="15">
        <f>Wind!C$12</f>
        <v>0</v>
      </c>
      <c r="D94" s="238" t="s">
        <v>64</v>
      </c>
      <c r="E94" s="248" t="s">
        <v>1048</v>
      </c>
      <c r="F94" s="20">
        <f>IF(C94=0,0,F$91/C94)</f>
        <v>0</v>
      </c>
    </row>
    <row r="95" spans="2:6">
      <c r="B95" s="14" t="s">
        <v>1069</v>
      </c>
      <c r="C95" s="15">
        <f>Wind!C$14</f>
        <v>0</v>
      </c>
      <c r="D95" s="238" t="s">
        <v>336</v>
      </c>
      <c r="E95" s="248" t="s">
        <v>1054</v>
      </c>
      <c r="F95" s="20">
        <f>IF(C95=0,0,F$91/C95)</f>
        <v>0</v>
      </c>
    </row>
    <row r="96" spans="2:6">
      <c r="B96" s="14" t="s">
        <v>1051</v>
      </c>
      <c r="C96" s="15">
        <f>Wind!C$11</f>
        <v>0</v>
      </c>
      <c r="D96" s="238" t="s">
        <v>1052</v>
      </c>
      <c r="E96" s="248" t="s">
        <v>1049</v>
      </c>
      <c r="F96" s="20">
        <f>IF(C96=0,0,F$91/C96)</f>
        <v>0</v>
      </c>
    </row>
    <row r="97" spans="2:6">
      <c r="B97" s="14" t="s">
        <v>1062</v>
      </c>
      <c r="E97" s="248"/>
      <c r="F97" s="20">
        <f>IF(C95=0,0,F93/C95)</f>
        <v>0</v>
      </c>
    </row>
    <row r="98" spans="2:6" ht="13">
      <c r="E98" s="249"/>
      <c r="F98" s="249"/>
    </row>
    <row r="99" spans="2:6" ht="13">
      <c r="B99" s="244" t="s">
        <v>53</v>
      </c>
      <c r="C99" s="245"/>
      <c r="D99" s="245"/>
      <c r="E99" s="245"/>
      <c r="F99" s="256"/>
    </row>
    <row r="100" spans="2:6" ht="13.5" thickBot="1">
      <c r="B100" s="14" t="s">
        <v>52</v>
      </c>
      <c r="C100" s="28"/>
      <c r="F100" s="19">
        <f>SUM(F101:F102)</f>
        <v>0</v>
      </c>
    </row>
    <row r="101" spans="2:6">
      <c r="B101" s="14" t="str">
        <f>Wind!B338</f>
        <v>Turbines</v>
      </c>
      <c r="C101" s="15">
        <f>Wind!C$14</f>
        <v>0</v>
      </c>
      <c r="D101" s="238" t="s">
        <v>336</v>
      </c>
      <c r="F101" s="20">
        <f>Wind!K349</f>
        <v>0</v>
      </c>
    </row>
    <row r="102" spans="2:6">
      <c r="B102" s="14" t="str">
        <f>Wind!B351</f>
        <v>Cables</v>
      </c>
      <c r="F102" s="20">
        <f>Wind!K363</f>
        <v>0</v>
      </c>
    </row>
    <row r="103" spans="2:6">
      <c r="B103" s="14" t="s">
        <v>1061</v>
      </c>
      <c r="F103" s="20">
        <f>Wind!I349</f>
        <v>0</v>
      </c>
    </row>
    <row r="105" spans="2:6" ht="13">
      <c r="B105" s="244" t="s">
        <v>1056</v>
      </c>
      <c r="C105" s="245"/>
      <c r="D105" s="245"/>
      <c r="E105" s="246"/>
      <c r="F105" s="247"/>
    </row>
    <row r="106" spans="2:6" ht="13.5" thickBot="1">
      <c r="B106" s="14" t="s">
        <v>52</v>
      </c>
      <c r="E106" s="249"/>
      <c r="F106" s="19">
        <f>F91-F100</f>
        <v>0</v>
      </c>
    </row>
    <row r="107" spans="2:6" ht="13">
      <c r="B107" s="14" t="s">
        <v>63</v>
      </c>
      <c r="C107" s="15">
        <f>Solar!C$12</f>
        <v>0</v>
      </c>
      <c r="D107" s="238" t="s">
        <v>64</v>
      </c>
      <c r="E107" s="249" t="s">
        <v>1048</v>
      </c>
      <c r="F107" s="17">
        <f>IF(C107=0,0,F$106/C107)</f>
        <v>0</v>
      </c>
    </row>
    <row r="108" spans="2:6" ht="13">
      <c r="B108" s="14" t="s">
        <v>1053</v>
      </c>
      <c r="C108" s="15">
        <f>Solar!C$72</f>
        <v>0</v>
      </c>
      <c r="D108" s="238" t="s">
        <v>336</v>
      </c>
      <c r="E108" s="249" t="s">
        <v>1054</v>
      </c>
      <c r="F108" s="17">
        <f t="shared" ref="F108:F109" si="1">IF(C108=0,0,F$106/C108)</f>
        <v>0</v>
      </c>
    </row>
    <row r="109" spans="2:6" ht="13">
      <c r="B109" s="14" t="s">
        <v>1051</v>
      </c>
      <c r="C109" s="15">
        <f>Solar!C$11</f>
        <v>0</v>
      </c>
      <c r="D109" s="238" t="s">
        <v>1052</v>
      </c>
      <c r="E109" s="249" t="s">
        <v>1049</v>
      </c>
      <c r="F109" s="17">
        <f t="shared" si="1"/>
        <v>0</v>
      </c>
    </row>
    <row r="110" spans="2:6" ht="13" thickBot="1">
      <c r="F110" s="257"/>
    </row>
    <row r="111" spans="2:6" ht="14" thickTop="1" thickBot="1">
      <c r="B111" s="250"/>
      <c r="E111" s="248" t="s">
        <v>1057</v>
      </c>
      <c r="F111" s="24">
        <f>Wind!K2-F91</f>
        <v>0</v>
      </c>
    </row>
    <row r="112" spans="2:6" ht="14" thickTop="1" thickBot="1">
      <c r="E112" s="248" t="s">
        <v>1058</v>
      </c>
      <c r="F112" s="24">
        <f>Wind!K4-F100</f>
        <v>0</v>
      </c>
    </row>
    <row r="113" spans="2:10" ht="14" thickTop="1" thickBot="1">
      <c r="E113" s="248" t="s">
        <v>1059</v>
      </c>
      <c r="F113" s="24">
        <f>Wind!K6-F106</f>
        <v>0</v>
      </c>
    </row>
    <row r="114" spans="2:10" ht="13" thickTop="1"/>
    <row r="115" spans="2:10" ht="20.149999999999999" customHeight="1">
      <c r="B115" s="240" t="str">
        <f>BESS</f>
        <v>BESS</v>
      </c>
      <c r="C115" s="241" t="str">
        <f>C8</f>
        <v>Quantity</v>
      </c>
      <c r="D115" s="241" t="str">
        <f>D8</f>
        <v>Rate</v>
      </c>
      <c r="E115" s="241" t="str">
        <f>E8</f>
        <v>Unit</v>
      </c>
      <c r="F115" s="241" t="str">
        <f>F8</f>
        <v>Totals</v>
      </c>
      <c r="H115" s="214"/>
      <c r="I115" s="214"/>
      <c r="J115" s="214"/>
    </row>
    <row r="116" spans="2:10">
      <c r="B116" s="14" t="str">
        <f>BESS!B17</f>
        <v>Disconnect grid</v>
      </c>
      <c r="C116" s="15">
        <f>BESS!C24</f>
        <v>0</v>
      </c>
      <c r="D116" s="23">
        <f>BESS!I24</f>
        <v>0</v>
      </c>
      <c r="E116" s="242" t="str">
        <f>BESS!D24</f>
        <v xml:space="preserve">sites </v>
      </c>
      <c r="F116" s="17">
        <f>BESS!K24</f>
        <v>0</v>
      </c>
    </row>
    <row r="117" spans="2:10">
      <c r="B117" s="14" t="str">
        <f>BESS!B26</f>
        <v>Electrical cables</v>
      </c>
      <c r="C117" s="15">
        <f>BESS!C39</f>
        <v>0</v>
      </c>
      <c r="D117" s="29">
        <f>BESS!I39</f>
        <v>0</v>
      </c>
      <c r="E117" s="242" t="str">
        <f>BESS!D39</f>
        <v>km</v>
      </c>
      <c r="F117" s="17">
        <f>BESS!K39</f>
        <v>0</v>
      </c>
    </row>
    <row r="118" spans="2:10">
      <c r="B118" s="14" t="str">
        <f>BESS!B41</f>
        <v>Powerlines</v>
      </c>
      <c r="C118" s="15">
        <f>BESS!C45</f>
        <v>0</v>
      </c>
      <c r="D118" s="23">
        <f>BESS!I45</f>
        <v>0</v>
      </c>
      <c r="E118" s="242" t="str">
        <f>BESS!D45</f>
        <v>km</v>
      </c>
      <c r="F118" s="17">
        <f>BESS!K45</f>
        <v>0</v>
      </c>
    </row>
    <row r="119" spans="2:10">
      <c r="B119" s="14" t="str">
        <f>BESS!B47</f>
        <v>Substations</v>
      </c>
      <c r="C119" s="15">
        <f>BESS!C55</f>
        <v>0</v>
      </c>
      <c r="D119" s="23">
        <f>BESS!I55</f>
        <v>0</v>
      </c>
      <c r="E119" s="242" t="str">
        <f>BESS!D55</f>
        <v>substations</v>
      </c>
      <c r="F119" s="17">
        <f>BESS!K55</f>
        <v>0</v>
      </c>
    </row>
    <row r="120" spans="2:10">
      <c r="B120" s="14" t="str">
        <f>BESS!B57</f>
        <v>Inverters and transformers</v>
      </c>
      <c r="C120" s="15">
        <f>BESS!C62</f>
        <v>0</v>
      </c>
      <c r="D120" s="23">
        <f>BESS!I62</f>
        <v>0</v>
      </c>
      <c r="E120" s="242" t="str">
        <f>BESS!D62</f>
        <v>units</v>
      </c>
      <c r="F120" s="17">
        <f>BESS!K62</f>
        <v>0</v>
      </c>
    </row>
    <row r="121" spans="2:10">
      <c r="B121" s="14" t="str">
        <f>BESS!B64</f>
        <v>BESS - removal and transport</v>
      </c>
      <c r="C121" s="15">
        <f>BESS!C72</f>
        <v>0</v>
      </c>
      <c r="D121" s="23">
        <f>BESS!I72</f>
        <v>0</v>
      </c>
      <c r="E121" s="242" t="str">
        <f>BESS!D72</f>
        <v>modules</v>
      </c>
      <c r="F121" s="17">
        <f>BESS!K72</f>
        <v>0</v>
      </c>
    </row>
    <row r="122" spans="2:10">
      <c r="B122" s="14" t="str">
        <f>BESS!B74</f>
        <v>Concrete slab and foundations for BESS and inverters</v>
      </c>
      <c r="C122" s="15">
        <f>BESS!C86</f>
        <v>0</v>
      </c>
      <c r="D122" s="23">
        <f>BESS!I86</f>
        <v>0</v>
      </c>
      <c r="E122" s="242" t="str">
        <f>BESS!D86</f>
        <v>m2</v>
      </c>
      <c r="F122" s="17">
        <f>BESS!K86</f>
        <v>0</v>
      </c>
    </row>
    <row r="123" spans="2:10">
      <c r="B123" s="14" t="str">
        <f>BESS!B88</f>
        <v>Tracks and roads</v>
      </c>
      <c r="C123" s="30">
        <f>BESS!C109</f>
        <v>0</v>
      </c>
      <c r="D123" s="23">
        <f>BESS!I109</f>
        <v>0</v>
      </c>
      <c r="E123" s="242" t="str">
        <f>BESS!D109</f>
        <v>ha</v>
      </c>
      <c r="F123" s="17">
        <f>BESS!K109</f>
        <v>0</v>
      </c>
    </row>
    <row r="124" spans="2:10">
      <c r="B124" s="14" t="str">
        <f>BESS!B111</f>
        <v>Laydown</v>
      </c>
      <c r="C124" s="30">
        <f>BESS!C123</f>
        <v>0</v>
      </c>
      <c r="D124" s="23">
        <f>BESS!I123</f>
        <v>0</v>
      </c>
      <c r="E124" s="242" t="str">
        <f>BESS!D123</f>
        <v>ha</v>
      </c>
      <c r="F124" s="17">
        <f>BESS!K123</f>
        <v>0</v>
      </c>
    </row>
    <row r="125" spans="2:10">
      <c r="B125" s="14" t="str">
        <f>BESS!B125</f>
        <v>Airstrips</v>
      </c>
      <c r="C125" s="15">
        <f>BESS!C130</f>
        <v>0</v>
      </c>
      <c r="D125" s="23">
        <f>BESS!I130</f>
        <v>0</v>
      </c>
      <c r="E125" s="242" t="str">
        <f>BESS!D130</f>
        <v>ha</v>
      </c>
      <c r="F125" s="17">
        <f>BESS!K130</f>
        <v>0</v>
      </c>
    </row>
    <row r="126" spans="2:10">
      <c r="B126" s="14" t="str">
        <f>BESS!B132</f>
        <v>Buildings by area</v>
      </c>
      <c r="C126" s="15">
        <f>BESS!C140</f>
        <v>0</v>
      </c>
      <c r="D126" s="23">
        <f>BESS!I140</f>
        <v>0</v>
      </c>
      <c r="E126" s="242" t="str">
        <f>BESS!D140</f>
        <v>m2</v>
      </c>
      <c r="F126" s="17">
        <f>BESS!K140</f>
        <v>0</v>
      </c>
    </row>
    <row r="127" spans="2:10">
      <c r="B127" s="14" t="str">
        <f>BESS!B142</f>
        <v>Buildings by number</v>
      </c>
      <c r="C127" s="15">
        <f>BESS!C150</f>
        <v>0</v>
      </c>
      <c r="D127" s="23">
        <f>BESS!I150</f>
        <v>0</v>
      </c>
      <c r="E127" s="242" t="str">
        <f>BESS!D150</f>
        <v>buildings</v>
      </c>
      <c r="F127" s="17">
        <f>BESS!K150</f>
        <v>0</v>
      </c>
    </row>
    <row r="128" spans="2:10">
      <c r="B128" s="14" t="str">
        <f>BESS!B152</f>
        <v>Land rehabilitation - growth media</v>
      </c>
      <c r="C128" s="15">
        <f>BESS!C170</f>
        <v>0</v>
      </c>
      <c r="D128" s="23">
        <f>BESS!I170</f>
        <v>0</v>
      </c>
      <c r="E128" s="242" t="str">
        <f>BESS!D170</f>
        <v>ha</v>
      </c>
      <c r="F128" s="17">
        <f>BESS!K170</f>
        <v>0</v>
      </c>
    </row>
    <row r="129" spans="2:6">
      <c r="B129" s="14" t="str">
        <f>BESS!B172</f>
        <v>Land rehabilitation - ameliorants</v>
      </c>
      <c r="C129" s="15">
        <f>BESS!C187</f>
        <v>0</v>
      </c>
      <c r="D129" s="23">
        <f>BESS!I187</f>
        <v>0</v>
      </c>
      <c r="E129" s="242" t="str">
        <f>BESS!D187</f>
        <v>ha</v>
      </c>
      <c r="F129" s="17">
        <f>BESS!K187</f>
        <v>0</v>
      </c>
    </row>
    <row r="130" spans="2:6">
      <c r="B130" s="14" t="str">
        <f>BESS!B189</f>
        <v>Land rehabilitation - revegetation</v>
      </c>
      <c r="C130" s="15">
        <f>BESS!C200</f>
        <v>0</v>
      </c>
      <c r="D130" s="23">
        <f>BESS!I200</f>
        <v>0</v>
      </c>
      <c r="E130" s="242" t="str">
        <f>BESS!D200</f>
        <v>ha</v>
      </c>
      <c r="F130" s="17">
        <f>BESS!K200</f>
        <v>0</v>
      </c>
    </row>
    <row r="131" spans="2:6">
      <c r="B131" s="14" t="str">
        <f>BESS!B202</f>
        <v>BESS disposal</v>
      </c>
      <c r="C131" s="15">
        <f>BESS!C209</f>
        <v>0</v>
      </c>
      <c r="D131" s="23">
        <f>BESS!I209</f>
        <v>0</v>
      </c>
      <c r="E131" s="242" t="str">
        <f>BESS!D209</f>
        <v>modules</v>
      </c>
      <c r="F131" s="17">
        <f>BESS!K209</f>
        <v>0</v>
      </c>
    </row>
    <row r="132" spans="2:6">
      <c r="B132" s="14" t="str">
        <f>BESS!B211</f>
        <v>BESS recycling (costs not credits)</v>
      </c>
      <c r="C132" s="15">
        <f>BESS!C219</f>
        <v>0</v>
      </c>
      <c r="D132" s="23">
        <f>BESS!I219</f>
        <v>0</v>
      </c>
      <c r="E132" s="242" t="str">
        <f>BESS!D219</f>
        <v>modules</v>
      </c>
      <c r="F132" s="17">
        <f>BESS!K219</f>
        <v>0</v>
      </c>
    </row>
    <row r="133" spans="2:6">
      <c r="B133" s="14" t="str">
        <f>BESS!B221</f>
        <v>Concrete crushing</v>
      </c>
      <c r="C133" s="15">
        <f>BESS!C237</f>
        <v>0</v>
      </c>
      <c r="D133" s="23">
        <f>BESS!I237</f>
        <v>0</v>
      </c>
      <c r="E133" s="242" t="str">
        <f>BESS!D237</f>
        <v>m3</v>
      </c>
      <c r="F133" s="17">
        <f>BESS!K237</f>
        <v>0</v>
      </c>
    </row>
    <row r="134" spans="2:6">
      <c r="B134" s="14" t="str">
        <f>BESS!B240</f>
        <v>Disposal of construction debris including concrete not part of items above</v>
      </c>
      <c r="C134" s="15">
        <f>BESS!C248</f>
        <v>0</v>
      </c>
      <c r="D134" s="23">
        <f>BESS!I248</f>
        <v>0</v>
      </c>
      <c r="E134" s="242" t="str">
        <f>BESS!D248</f>
        <v>t</v>
      </c>
      <c r="F134" s="17">
        <f>BESS!K248</f>
        <v>0</v>
      </c>
    </row>
    <row r="135" spans="2:6">
      <c r="B135" s="14" t="str">
        <f>BESS!B250</f>
        <v>Disposal of steel not part of items above</v>
      </c>
      <c r="C135" s="15">
        <f>BESS!C258</f>
        <v>0</v>
      </c>
      <c r="D135" s="23">
        <f>BESS!I258</f>
        <v>0</v>
      </c>
      <c r="E135" s="255" t="str">
        <f>BESS!D258</f>
        <v>t</v>
      </c>
      <c r="F135" s="17">
        <f>BESS!K258</f>
        <v>0</v>
      </c>
    </row>
    <row r="136" spans="2:6">
      <c r="B136" s="14" t="str">
        <f>BESS!B260</f>
        <v>Disposal of soil (by mass)</v>
      </c>
      <c r="C136" s="15">
        <f>BESS!C268</f>
        <v>0</v>
      </c>
      <c r="D136" s="23">
        <f>BESS!I268</f>
        <v>0</v>
      </c>
      <c r="E136" s="255" t="str">
        <f>BESS!D268</f>
        <v>t</v>
      </c>
      <c r="F136" s="17">
        <f>BESS!K268</f>
        <v>0</v>
      </c>
    </row>
    <row r="137" spans="2:6">
      <c r="B137" s="14" t="str">
        <f>BESS!B270</f>
        <v>Mobilisation</v>
      </c>
      <c r="C137" s="15">
        <f>BESS!C276</f>
        <v>0</v>
      </c>
      <c r="D137" s="23">
        <f>BESS!I276</f>
        <v>0</v>
      </c>
      <c r="E137" s="255" t="str">
        <f>BESS!D276</f>
        <v>fleets</v>
      </c>
      <c r="F137" s="17">
        <f>BESS!K276</f>
        <v>0</v>
      </c>
    </row>
    <row r="138" spans="2:6">
      <c r="B138" s="14" t="str">
        <f>BESS!B278</f>
        <v>Reporting and documentation</v>
      </c>
      <c r="C138" s="15">
        <f>BESS!C286</f>
        <v>0</v>
      </c>
      <c r="D138" s="23">
        <f>BESS!I286</f>
        <v>0</v>
      </c>
      <c r="E138" s="255" t="str">
        <f>BESS!D286</f>
        <v>items</v>
      </c>
      <c r="F138" s="17">
        <f>BESS!K286</f>
        <v>0</v>
      </c>
    </row>
    <row r="139" spans="2:6">
      <c r="B139" s="14" t="str">
        <f>BESS!B288</f>
        <v>User entered additional items</v>
      </c>
      <c r="C139" s="15">
        <f>BESS!C297</f>
        <v>0</v>
      </c>
      <c r="D139" s="23">
        <f>BESS!I297</f>
        <v>0</v>
      </c>
      <c r="E139" s="258">
        <f>BESS!D297</f>
        <v>0</v>
      </c>
      <c r="F139" s="17">
        <f>BESS!K297</f>
        <v>0</v>
      </c>
    </row>
    <row r="140" spans="2:6">
      <c r="B140" s="14" t="str">
        <f>BESS!B299</f>
        <v>Project costs</v>
      </c>
      <c r="C140" s="15">
        <f>BESS!C305</f>
        <v>0</v>
      </c>
      <c r="D140" s="23">
        <f>BESS!I305</f>
        <v>0</v>
      </c>
      <c r="E140" s="255">
        <f>BESS!D305</f>
        <v>0</v>
      </c>
      <c r="F140" s="17">
        <f>BESS!K305</f>
        <v>0</v>
      </c>
    </row>
    <row r="141" spans="2:6">
      <c r="F141" s="243"/>
    </row>
    <row r="142" spans="2:6" ht="13">
      <c r="B142" s="244" t="s">
        <v>1055</v>
      </c>
      <c r="C142" s="245"/>
      <c r="D142" s="245"/>
      <c r="E142" s="246"/>
      <c r="F142" s="247"/>
    </row>
    <row r="143" spans="2:6" ht="13.5" thickBot="1">
      <c r="B143" s="18" t="s">
        <v>52</v>
      </c>
      <c r="F143" s="31">
        <f>SUM(F116:F142)</f>
        <v>0</v>
      </c>
    </row>
    <row r="144" spans="2:6">
      <c r="B144" s="14" t="s">
        <v>55</v>
      </c>
      <c r="F144" s="27">
        <f>SUM(F116:F127,F131:F140)</f>
        <v>0</v>
      </c>
    </row>
    <row r="145" spans="2:6">
      <c r="B145" s="14" t="s">
        <v>1157</v>
      </c>
      <c r="F145" s="27">
        <f>SUM(F121,F131:F132)</f>
        <v>0</v>
      </c>
    </row>
    <row r="146" spans="2:6">
      <c r="B146" s="14" t="s">
        <v>63</v>
      </c>
      <c r="C146" s="15">
        <f>BESS!C$12</f>
        <v>0</v>
      </c>
      <c r="D146" s="238" t="s">
        <v>64</v>
      </c>
      <c r="E146" s="248" t="s">
        <v>1048</v>
      </c>
      <c r="F146" s="27">
        <f>IF(C146=0,0,F$143/C146)</f>
        <v>0</v>
      </c>
    </row>
    <row r="147" spans="2:6">
      <c r="B147" s="14" t="s">
        <v>437</v>
      </c>
      <c r="C147" s="15">
        <f>BESS!C$15</f>
        <v>0</v>
      </c>
      <c r="D147" s="238" t="s">
        <v>438</v>
      </c>
      <c r="E147" s="248" t="s">
        <v>985</v>
      </c>
      <c r="F147" s="27">
        <f t="shared" ref="F147:F148" si="2">IF(C147=0,0,F$143/C147)</f>
        <v>0</v>
      </c>
    </row>
    <row r="148" spans="2:6">
      <c r="B148" s="14" t="s">
        <v>1051</v>
      </c>
      <c r="C148" s="15">
        <f>BESS!C$11</f>
        <v>0</v>
      </c>
      <c r="D148" s="238" t="s">
        <v>1052</v>
      </c>
      <c r="E148" s="248" t="s">
        <v>1049</v>
      </c>
      <c r="F148" s="27">
        <f t="shared" si="2"/>
        <v>0</v>
      </c>
    </row>
    <row r="150" spans="2:6" ht="13">
      <c r="B150" s="244" t="s">
        <v>53</v>
      </c>
      <c r="C150" s="245"/>
      <c r="D150" s="245"/>
      <c r="E150" s="246"/>
      <c r="F150" s="247"/>
    </row>
    <row r="151" spans="2:6" ht="13.5" thickBot="1">
      <c r="B151" s="18" t="s">
        <v>52</v>
      </c>
      <c r="F151" s="31">
        <f>SUM(F152:F153)</f>
        <v>0</v>
      </c>
    </row>
    <row r="152" spans="2:6">
      <c r="B152" s="18" t="s">
        <v>463</v>
      </c>
      <c r="C152" s="15">
        <f>BESS!C$15</f>
        <v>0</v>
      </c>
      <c r="D152" s="23">
        <f>BESS!I321</f>
        <v>0</v>
      </c>
      <c r="E152" s="15" t="str">
        <f>BESS!J321</f>
        <v>module        total</v>
      </c>
      <c r="F152" s="27">
        <f>BESS!K321</f>
        <v>0</v>
      </c>
    </row>
    <row r="153" spans="2:6">
      <c r="B153" s="14" t="s">
        <v>332</v>
      </c>
      <c r="C153" s="15">
        <f>BESS!C$15</f>
        <v>0</v>
      </c>
      <c r="D153" s="23">
        <f>BESS!I336</f>
        <v>0</v>
      </c>
      <c r="E153" s="15" t="str">
        <f>BESS!J336</f>
        <v>module        total</v>
      </c>
      <c r="F153" s="17">
        <f>BESS!K336</f>
        <v>0</v>
      </c>
    </row>
    <row r="155" spans="2:6" ht="13">
      <c r="B155" s="244" t="s">
        <v>1056</v>
      </c>
      <c r="C155" s="245"/>
      <c r="D155" s="245"/>
      <c r="E155" s="246"/>
      <c r="F155" s="247"/>
    </row>
    <row r="156" spans="2:6" ht="13.5" thickBot="1">
      <c r="B156" s="14" t="s">
        <v>52</v>
      </c>
      <c r="F156" s="31">
        <f>F143-F151</f>
        <v>0</v>
      </c>
    </row>
    <row r="157" spans="2:6">
      <c r="B157" s="14" t="s">
        <v>63</v>
      </c>
      <c r="C157" s="15">
        <f>BESS!C$12</f>
        <v>0</v>
      </c>
      <c r="D157" s="238" t="s">
        <v>64</v>
      </c>
      <c r="E157" s="248" t="s">
        <v>1048</v>
      </c>
      <c r="F157" s="27">
        <f>IF(C157=0,0,F$156/C157)</f>
        <v>0</v>
      </c>
    </row>
    <row r="158" spans="2:6">
      <c r="B158" s="14" t="s">
        <v>1053</v>
      </c>
      <c r="C158" s="15">
        <f>BESS!C$15</f>
        <v>0</v>
      </c>
      <c r="D158" s="238" t="s">
        <v>438</v>
      </c>
      <c r="E158" s="248" t="s">
        <v>985</v>
      </c>
      <c r="F158" s="27">
        <f t="shared" ref="F158:F159" si="3">IF(C158=0,0,F$156/C158)</f>
        <v>0</v>
      </c>
    </row>
    <row r="159" spans="2:6">
      <c r="B159" s="14" t="s">
        <v>1051</v>
      </c>
      <c r="C159" s="15">
        <f>BESS!C$11</f>
        <v>0</v>
      </c>
      <c r="D159" s="238" t="s">
        <v>1052</v>
      </c>
      <c r="E159" s="248" t="s">
        <v>1049</v>
      </c>
      <c r="F159" s="27">
        <f t="shared" si="3"/>
        <v>0</v>
      </c>
    </row>
    <row r="160" spans="2:6" ht="13" thickBot="1"/>
    <row r="161" spans="2:6" ht="14" thickTop="1" thickBot="1">
      <c r="E161" s="248" t="s">
        <v>1057</v>
      </c>
      <c r="F161" s="24">
        <f>BESS!K2-Summary!F143</f>
        <v>0</v>
      </c>
    </row>
    <row r="162" spans="2:6" ht="14" thickTop="1" thickBot="1">
      <c r="E162" s="248" t="s">
        <v>1058</v>
      </c>
      <c r="F162" s="24">
        <f>BESS!K4-Summary!F151</f>
        <v>0</v>
      </c>
    </row>
    <row r="163" spans="2:6" ht="14" thickTop="1" thickBot="1">
      <c r="E163" s="248" t="s">
        <v>1059</v>
      </c>
      <c r="F163" s="24">
        <f>BESS!K6-Summary!F156</f>
        <v>0</v>
      </c>
    </row>
    <row r="164" spans="2:6" ht="13" thickTop="1">
      <c r="B164" s="251"/>
      <c r="C164" s="251"/>
      <c r="D164" s="251"/>
      <c r="E164" s="251"/>
      <c r="F164" s="251"/>
    </row>
    <row r="166" spans="2:6" ht="21" customHeight="1">
      <c r="B166" s="240" t="str">
        <f>'Green Hydrogen'!B8</f>
        <v>GREEN HYDROGEN</v>
      </c>
      <c r="C166" s="241" t="str">
        <f>C8</f>
        <v>Quantity</v>
      </c>
      <c r="D166" s="241" t="str">
        <f>D8</f>
        <v>Rate</v>
      </c>
      <c r="E166" s="241" t="str">
        <f>E8</f>
        <v>Unit</v>
      </c>
      <c r="F166" s="241" t="str">
        <f>F8</f>
        <v>Totals</v>
      </c>
    </row>
    <row r="167" spans="2:6">
      <c r="B167" s="14" t="str">
        <f>'Green Hydrogen'!B18</f>
        <v>Disconnect from power supply</v>
      </c>
      <c r="C167" s="15">
        <f>'Green Hydrogen'!C22</f>
        <v>0</v>
      </c>
      <c r="D167" s="16">
        <f>'Green Hydrogen'!I22</f>
        <v>0</v>
      </c>
      <c r="E167" s="242" t="str">
        <f>'Green Hydrogen'!D22</f>
        <v xml:space="preserve">sites </v>
      </c>
      <c r="F167" s="17">
        <f>'Green Hydrogen'!K22</f>
        <v>0</v>
      </c>
    </row>
    <row r="168" spans="2:6">
      <c r="B168" s="14" t="str">
        <f>'Green Hydrogen'!B24</f>
        <v>Depressurise and remove residual hydrogen gas</v>
      </c>
      <c r="C168" s="15">
        <f>'Green Hydrogen'!C30</f>
        <v>0</v>
      </c>
      <c r="D168" s="16">
        <f>'Green Hydrogen'!I30</f>
        <v>0</v>
      </c>
      <c r="E168" s="242" t="str">
        <f>'Green Hydrogen'!D30</f>
        <v>plant</v>
      </c>
      <c r="F168" s="17">
        <f>'Green Hydrogen'!K30</f>
        <v>0</v>
      </c>
    </row>
    <row r="169" spans="2:6">
      <c r="B169" s="14" t="str">
        <f>'Green Hydrogen'!B32</f>
        <v>Drain, remove and transport electrolysers</v>
      </c>
      <c r="C169" s="15">
        <f>'Green Hydrogen'!C39</f>
        <v>0</v>
      </c>
      <c r="D169" s="16">
        <f>'Green Hydrogen'!I39</f>
        <v>0</v>
      </c>
      <c r="E169" s="242" t="str">
        <f>'Green Hydrogen'!D39</f>
        <v>modules</v>
      </c>
      <c r="F169" s="17">
        <f>'Green Hydrogen'!K39</f>
        <v>0</v>
      </c>
    </row>
    <row r="170" spans="2:6">
      <c r="B170" s="14" t="str">
        <f>'Green Hydrogen'!B41</f>
        <v>Drain, remove and transport water supply and purification</v>
      </c>
      <c r="C170" s="15">
        <f>'Green Hydrogen'!C47</f>
        <v>0</v>
      </c>
      <c r="D170" s="16">
        <f>'Green Hydrogen'!I47</f>
        <v>0</v>
      </c>
      <c r="E170" s="242" t="str">
        <f>'Green Hydrogen'!D47</f>
        <v>modules</v>
      </c>
      <c r="F170" s="17">
        <f>'Green Hydrogen'!K47</f>
        <v>0</v>
      </c>
    </row>
    <row r="171" spans="2:6">
      <c r="B171" s="14" t="str">
        <f>'Green Hydrogen'!B49</f>
        <v>Remove and transport hydrogen compressors</v>
      </c>
      <c r="C171" s="15">
        <f>'Green Hydrogen'!C55</f>
        <v>0</v>
      </c>
      <c r="D171" s="16">
        <f>'Green Hydrogen'!I55</f>
        <v>0</v>
      </c>
      <c r="E171" s="242" t="str">
        <f>'Green Hydrogen'!D55</f>
        <v>compressors</v>
      </c>
      <c r="F171" s="17">
        <f>'Green Hydrogen'!K55</f>
        <v>0</v>
      </c>
    </row>
    <row r="172" spans="2:6">
      <c r="B172" s="14" t="str">
        <f>'Green Hydrogen'!B57</f>
        <v>Demolish hydrogen storage tanks</v>
      </c>
      <c r="C172" s="15">
        <f>'Green Hydrogen'!C67</f>
        <v>0</v>
      </c>
      <c r="D172" s="16">
        <f>'Green Hydrogen'!I67</f>
        <v>0</v>
      </c>
      <c r="E172" s="242" t="str">
        <f>'Green Hydrogen'!D67</f>
        <v>tanks</v>
      </c>
      <c r="F172" s="17">
        <f>'Green Hydrogen'!K67</f>
        <v>0</v>
      </c>
    </row>
    <row r="173" spans="2:6">
      <c r="B173" s="14" t="str">
        <f>'Green Hydrogen'!B69</f>
        <v>Decommission tracks and roads and rehabilitate</v>
      </c>
      <c r="C173" s="15">
        <f>'Green Hydrogen'!C90</f>
        <v>0</v>
      </c>
      <c r="D173" s="16">
        <f>'Green Hydrogen'!I90</f>
        <v>0</v>
      </c>
      <c r="E173" s="242" t="str">
        <f>'Green Hydrogen'!D90</f>
        <v>ha</v>
      </c>
      <c r="F173" s="17">
        <f>'Green Hydrogen'!K90</f>
        <v>0</v>
      </c>
    </row>
    <row r="174" spans="2:6">
      <c r="B174" s="14" t="str">
        <f>'Green Hydrogen'!B92</f>
        <v>Decommission laydown areas and rehabilitate</v>
      </c>
      <c r="C174" s="15">
        <f>'Green Hydrogen'!C104</f>
        <v>0</v>
      </c>
      <c r="D174" s="16">
        <f>'Green Hydrogen'!I104</f>
        <v>0</v>
      </c>
      <c r="E174" s="242" t="str">
        <f>'Green Hydrogen'!D104</f>
        <v>ha</v>
      </c>
      <c r="F174" s="17">
        <f>'Green Hydrogen'!K104</f>
        <v>0</v>
      </c>
    </row>
    <row r="175" spans="2:6">
      <c r="B175" s="14" t="str">
        <f>'Green Hydrogen'!B106</f>
        <v>Decommission airstrips and rehabilitate</v>
      </c>
      <c r="C175" s="15">
        <f>'Green Hydrogen'!C111</f>
        <v>0</v>
      </c>
      <c r="D175" s="16">
        <f>'Green Hydrogen'!I111</f>
        <v>0</v>
      </c>
      <c r="E175" s="242" t="str">
        <f>'Green Hydrogen'!D111</f>
        <v>ha</v>
      </c>
      <c r="F175" s="17">
        <f>'Green Hydrogen'!K111</f>
        <v>0</v>
      </c>
    </row>
    <row r="176" spans="2:6">
      <c r="B176" s="14" t="str">
        <f>'Green Hydrogen'!B113</f>
        <v>Demolish / remove buildings (by area)</v>
      </c>
      <c r="C176" s="15">
        <f>'Green Hydrogen'!C121</f>
        <v>0</v>
      </c>
      <c r="D176" s="16">
        <f>'Green Hydrogen'!I121</f>
        <v>0</v>
      </c>
      <c r="E176" s="242" t="str">
        <f>'Green Hydrogen'!D121</f>
        <v>m2</v>
      </c>
      <c r="F176" s="17">
        <f>'Green Hydrogen'!K121</f>
        <v>0</v>
      </c>
    </row>
    <row r="177" spans="2:6">
      <c r="B177" s="14" t="str">
        <f>'Green Hydrogen'!B123</f>
        <v>Demolish / remove buildings (by number)</v>
      </c>
      <c r="C177" s="15">
        <f>'Green Hydrogen'!C131</f>
        <v>0</v>
      </c>
      <c r="D177" s="16">
        <f>'Green Hydrogen'!I131</f>
        <v>0</v>
      </c>
      <c r="E177" s="242" t="str">
        <f>'Green Hydrogen'!D131</f>
        <v>buildings</v>
      </c>
      <c r="F177" s="17">
        <f>'Green Hydrogen'!K131</f>
        <v>0</v>
      </c>
    </row>
    <row r="178" spans="2:6">
      <c r="B178" s="14" t="str">
        <f>'Green Hydrogen'!B133</f>
        <v>Apply growth media to rehabilitate land</v>
      </c>
      <c r="C178" s="15">
        <f>'Green Hydrogen'!C151</f>
        <v>0</v>
      </c>
      <c r="D178" s="16">
        <f>'Green Hydrogen'!I151</f>
        <v>0</v>
      </c>
      <c r="E178" s="242" t="str">
        <f>'Green Hydrogen'!D151</f>
        <v>ha</v>
      </c>
      <c r="F178" s="17">
        <f>'Green Hydrogen'!K151</f>
        <v>0</v>
      </c>
    </row>
    <row r="179" spans="2:6">
      <c r="B179" s="14" t="str">
        <f>'Green Hydrogen'!B153</f>
        <v xml:space="preserve">Apply ameliorants to rehabilitate land </v>
      </c>
      <c r="C179" s="15">
        <f>'Green Hydrogen'!C168</f>
        <v>0</v>
      </c>
      <c r="D179" s="16">
        <f>'Green Hydrogen'!I168</f>
        <v>0</v>
      </c>
      <c r="E179" s="242" t="str">
        <f>'Green Hydrogen'!D168</f>
        <v>ha</v>
      </c>
      <c r="F179" s="17">
        <f>'Green Hydrogen'!K168</f>
        <v>0</v>
      </c>
    </row>
    <row r="180" spans="2:6">
      <c r="B180" s="14" t="str">
        <f>'Green Hydrogen'!B170</f>
        <v xml:space="preserve">Revegetate to rehabilitate land </v>
      </c>
      <c r="C180" s="15">
        <f>'Green Hydrogen'!C181</f>
        <v>0</v>
      </c>
      <c r="D180" s="16">
        <f>'Green Hydrogen'!I181</f>
        <v>0</v>
      </c>
      <c r="E180" s="242" t="str">
        <f>'Green Hydrogen'!D181</f>
        <v>ha</v>
      </c>
      <c r="F180" s="17">
        <f>'Green Hydrogen'!K181</f>
        <v>0</v>
      </c>
    </row>
    <row r="181" spans="2:6">
      <c r="B181" s="14" t="str">
        <f>'Green Hydrogen'!B183</f>
        <v>Crush concrete</v>
      </c>
      <c r="C181" s="15">
        <f>'Green Hydrogen'!C199</f>
        <v>0</v>
      </c>
      <c r="D181" s="16">
        <f>'Green Hydrogen'!I199</f>
        <v>0</v>
      </c>
      <c r="E181" s="242" t="str">
        <f>'Green Hydrogen'!J199</f>
        <v>m3               total</v>
      </c>
      <c r="F181" s="17">
        <f>'Green Hydrogen'!K199</f>
        <v>0</v>
      </c>
    </row>
    <row r="182" spans="2:6">
      <c r="B182" s="14" t="str">
        <f>'Green Hydrogen'!B202</f>
        <v>Dispose construction debris including concrete not part of items above</v>
      </c>
      <c r="C182" s="15">
        <f>'Green Hydrogen'!C210</f>
        <v>0</v>
      </c>
      <c r="D182" s="16">
        <f>'Green Hydrogen'!I210</f>
        <v>0</v>
      </c>
      <c r="E182" s="242" t="str">
        <f>'Green Hydrogen'!D210</f>
        <v>t</v>
      </c>
      <c r="F182" s="17">
        <f>'Green Hydrogen'!K210</f>
        <v>0</v>
      </c>
    </row>
    <row r="183" spans="2:6">
      <c r="B183" s="14" t="str">
        <f>'Green Hydrogen'!B212</f>
        <v>Dispose of steel not part of items above</v>
      </c>
      <c r="C183" s="15">
        <f>'Green Hydrogen'!C220</f>
        <v>0</v>
      </c>
      <c r="D183" s="16">
        <f>'Green Hydrogen'!I220</f>
        <v>0</v>
      </c>
      <c r="E183" s="242" t="str">
        <f>'Green Hydrogen'!D220</f>
        <v>t</v>
      </c>
      <c r="F183" s="17">
        <f>'Green Hydrogen'!K220</f>
        <v>0</v>
      </c>
    </row>
    <row r="184" spans="2:6">
      <c r="B184" s="14" t="str">
        <f>'Green Hydrogen'!B222</f>
        <v>Dispose of soil (by mass)</v>
      </c>
      <c r="C184" s="15">
        <f>'Green Hydrogen'!C230</f>
        <v>0</v>
      </c>
      <c r="D184" s="16">
        <f>'Green Hydrogen'!I230</f>
        <v>0</v>
      </c>
      <c r="E184" s="242" t="str">
        <f>'Green Hydrogen'!D230</f>
        <v>t</v>
      </c>
      <c r="F184" s="17">
        <f>'Green Hydrogen'!K230</f>
        <v>0</v>
      </c>
    </row>
    <row r="185" spans="2:6">
      <c r="B185" s="14" t="str">
        <f>'Green Hydrogen'!B232</f>
        <v>Mobilisation</v>
      </c>
      <c r="C185" s="15">
        <f>'Green Hydrogen'!C238</f>
        <v>0</v>
      </c>
      <c r="D185" s="16">
        <f>'Green Hydrogen'!I238</f>
        <v>0</v>
      </c>
      <c r="E185" s="242" t="str">
        <f>'Green Hydrogen'!D238</f>
        <v>fleets</v>
      </c>
      <c r="F185" s="17">
        <f>'Green Hydrogen'!K238</f>
        <v>0</v>
      </c>
    </row>
    <row r="186" spans="2:6">
      <c r="B186" s="14" t="str">
        <f>'Green Hydrogen'!B240</f>
        <v>Report and document</v>
      </c>
      <c r="C186" s="15">
        <f>'Green Hydrogen'!C248</f>
        <v>0</v>
      </c>
      <c r="D186" s="16">
        <f>'Green Hydrogen'!I248</f>
        <v>0</v>
      </c>
      <c r="E186" s="242" t="str">
        <f>'Green Hydrogen'!D248</f>
        <v>items</v>
      </c>
      <c r="F186" s="17">
        <f>'Green Hydrogen'!K248</f>
        <v>0</v>
      </c>
    </row>
    <row r="187" spans="2:6">
      <c r="B187" s="14" t="str">
        <f>'Green Hydrogen'!B250</f>
        <v>User entered additional items</v>
      </c>
      <c r="C187" s="15">
        <f>'Green Hydrogen'!C259</f>
        <v>0</v>
      </c>
      <c r="D187" s="16">
        <f>'Green Hydrogen'!I259</f>
        <v>0</v>
      </c>
      <c r="E187" s="255">
        <f>'Green Hydrogen'!D259</f>
        <v>0</v>
      </c>
      <c r="F187" s="17">
        <f>'Green Hydrogen'!K259</f>
        <v>0</v>
      </c>
    </row>
    <row r="188" spans="2:6">
      <c r="B188" s="14" t="str">
        <f>'Green Hydrogen'!B261</f>
        <v>Project costs</v>
      </c>
      <c r="C188" s="15">
        <f>'Green Hydrogen'!C267</f>
        <v>0</v>
      </c>
      <c r="D188" s="16">
        <f>'Green Hydrogen'!I267</f>
        <v>0</v>
      </c>
      <c r="E188" s="255">
        <f>'Green Hydrogen'!D267</f>
        <v>0</v>
      </c>
      <c r="F188" s="17">
        <f>'Green Hydrogen'!K267</f>
        <v>0</v>
      </c>
    </row>
    <row r="189" spans="2:6">
      <c r="F189" s="243"/>
    </row>
    <row r="190" spans="2:6" ht="13">
      <c r="B190" s="244" t="s">
        <v>1055</v>
      </c>
      <c r="C190" s="245"/>
      <c r="D190" s="245"/>
      <c r="E190" s="246"/>
      <c r="F190" s="247"/>
    </row>
    <row r="191" spans="2:6" ht="13.5" thickBot="1">
      <c r="B191" s="14" t="s">
        <v>52</v>
      </c>
      <c r="E191" s="249"/>
      <c r="F191" s="19">
        <f>SUM(F167:F189)</f>
        <v>0</v>
      </c>
    </row>
    <row r="192" spans="2:6" ht="13">
      <c r="B192" s="14" t="s">
        <v>55</v>
      </c>
      <c r="E192" s="249"/>
      <c r="F192" s="17">
        <f>SUM(F167:F177,F181:F188)</f>
        <v>0</v>
      </c>
    </row>
    <row r="193" spans="2:6" ht="13">
      <c r="B193" s="14" t="s">
        <v>1241</v>
      </c>
      <c r="E193" s="249"/>
      <c r="F193" s="20">
        <f>SUM(F169:F171)</f>
        <v>0</v>
      </c>
    </row>
    <row r="194" spans="2:6">
      <c r="B194" s="14" t="s">
        <v>63</v>
      </c>
      <c r="C194" s="15">
        <f>'Green Hydrogen'!$C$13</f>
        <v>0</v>
      </c>
      <c r="D194" s="238" t="str">
        <f>'Green Hydrogen'!$D$13</f>
        <v>MW</v>
      </c>
      <c r="E194" s="248" t="s">
        <v>1048</v>
      </c>
      <c r="F194" s="20">
        <f>IF(C194=0,0,F$191/C194)</f>
        <v>0</v>
      </c>
    </row>
    <row r="195" spans="2:6">
      <c r="B195" s="14" t="s">
        <v>1107</v>
      </c>
      <c r="C195" s="15">
        <f>'Green Hydrogen'!$C$12</f>
        <v>0</v>
      </c>
      <c r="D195" s="238" t="str">
        <f>'Green Hydrogen'!$D$12</f>
        <v>t H2 / day</v>
      </c>
      <c r="E195" s="248" t="s">
        <v>1108</v>
      </c>
      <c r="F195" s="20">
        <f t="shared" ref="F195:F197" si="4">IF(C195=0,0,F$191/C195)</f>
        <v>0</v>
      </c>
    </row>
    <row r="196" spans="2:6">
      <c r="B196" s="14" t="s">
        <v>437</v>
      </c>
      <c r="C196" s="15">
        <f>'Green Hydrogen'!$C$15</f>
        <v>0</v>
      </c>
      <c r="D196" s="238" t="s">
        <v>1242</v>
      </c>
      <c r="E196" s="248" t="s">
        <v>985</v>
      </c>
      <c r="F196" s="20">
        <f t="shared" si="4"/>
        <v>0</v>
      </c>
    </row>
    <row r="197" spans="2:6">
      <c r="B197" s="14" t="s">
        <v>900</v>
      </c>
      <c r="C197" s="30">
        <f>'Green Hydrogen'!$C$11</f>
        <v>0</v>
      </c>
      <c r="D197" s="238" t="s">
        <v>1052</v>
      </c>
      <c r="E197" s="248" t="s">
        <v>1049</v>
      </c>
      <c r="F197" s="20">
        <f t="shared" si="4"/>
        <v>0</v>
      </c>
    </row>
    <row r="199" spans="2:6" ht="13">
      <c r="B199" s="244" t="s">
        <v>53</v>
      </c>
      <c r="C199" s="245"/>
      <c r="D199" s="245"/>
      <c r="E199" s="245"/>
      <c r="F199" s="256"/>
    </row>
    <row r="200" spans="2:6" ht="13.5" thickBot="1">
      <c r="B200" s="14" t="s">
        <v>52</v>
      </c>
      <c r="C200" s="250"/>
      <c r="D200" s="250"/>
      <c r="E200" s="250"/>
      <c r="F200" s="19">
        <f>SUM(F201:F201)</f>
        <v>0</v>
      </c>
    </row>
    <row r="201" spans="2:6">
      <c r="B201" s="14" t="str">
        <f>'Green Hydrogen'!B270</f>
        <v>Electrolyser</v>
      </c>
      <c r="C201" s="15">
        <f>'Green Hydrogen'!C$15</f>
        <v>0</v>
      </c>
      <c r="D201" s="23">
        <f>'Green Hydrogen'!I283</f>
        <v>0</v>
      </c>
      <c r="E201" s="242" t="str">
        <f>'Green Hydrogen'!J283</f>
        <v>module        total</v>
      </c>
      <c r="F201" s="20">
        <f>'Green Hydrogen'!K283</f>
        <v>0</v>
      </c>
    </row>
    <row r="203" spans="2:6" ht="13">
      <c r="B203" s="244" t="s">
        <v>1056</v>
      </c>
      <c r="C203" s="245"/>
      <c r="D203" s="245"/>
      <c r="E203" s="246"/>
      <c r="F203" s="247"/>
    </row>
    <row r="204" spans="2:6" ht="13.5" thickBot="1">
      <c r="B204" s="14" t="s">
        <v>52</v>
      </c>
      <c r="E204" s="249"/>
      <c r="F204" s="19">
        <f>F191-F200</f>
        <v>0</v>
      </c>
    </row>
    <row r="205" spans="2:6">
      <c r="B205" s="14" t="s">
        <v>63</v>
      </c>
      <c r="C205" s="15">
        <f>'Green Hydrogen'!$C$13</f>
        <v>0</v>
      </c>
      <c r="D205" s="238" t="str">
        <f>'Green Hydrogen'!$D$13</f>
        <v>MW</v>
      </c>
      <c r="E205" s="248" t="s">
        <v>1048</v>
      </c>
      <c r="F205" s="17">
        <f>IF(C205=0,0,F$106/C205)</f>
        <v>0</v>
      </c>
    </row>
    <row r="206" spans="2:6">
      <c r="B206" s="14" t="s">
        <v>1107</v>
      </c>
      <c r="C206" s="15">
        <f>'Green Hydrogen'!$C$12</f>
        <v>0</v>
      </c>
      <c r="D206" s="238" t="str">
        <f>'Green Hydrogen'!$D$12</f>
        <v>t H2 / day</v>
      </c>
      <c r="E206" s="248" t="s">
        <v>1108</v>
      </c>
      <c r="F206" s="17">
        <f t="shared" ref="F206:F208" si="5">IF(C206=0,0,F$106/C206)</f>
        <v>0</v>
      </c>
    </row>
    <row r="207" spans="2:6">
      <c r="B207" s="14" t="s">
        <v>1053</v>
      </c>
      <c r="C207" s="15">
        <f>'Green Hydrogen'!$C$15</f>
        <v>0</v>
      </c>
      <c r="D207" s="238" t="s">
        <v>1242</v>
      </c>
      <c r="E207" s="248" t="s">
        <v>1063</v>
      </c>
      <c r="F207" s="17">
        <f t="shared" si="5"/>
        <v>0</v>
      </c>
    </row>
    <row r="208" spans="2:6">
      <c r="B208" s="14" t="s">
        <v>1051</v>
      </c>
      <c r="C208" s="30">
        <f>'Green Hydrogen'!$C$11</f>
        <v>0</v>
      </c>
      <c r="D208" s="238" t="s">
        <v>1052</v>
      </c>
      <c r="E208" s="248" t="s">
        <v>1049</v>
      </c>
      <c r="F208" s="17">
        <f t="shared" si="5"/>
        <v>0</v>
      </c>
    </row>
    <row r="209" spans="2:6" ht="13" thickBot="1"/>
    <row r="210" spans="2:6" ht="14" thickTop="1" thickBot="1">
      <c r="B210" s="250"/>
      <c r="E210" s="248" t="s">
        <v>1057</v>
      </c>
      <c r="F210" s="24">
        <f>'Green Hydrogen'!K2-F191</f>
        <v>0</v>
      </c>
    </row>
    <row r="211" spans="2:6" ht="14" thickTop="1" thickBot="1">
      <c r="E211" s="248" t="s">
        <v>1058</v>
      </c>
      <c r="F211" s="24">
        <f>'Green Hydrogen'!K4-F200</f>
        <v>0</v>
      </c>
    </row>
    <row r="212" spans="2:6" ht="14" thickTop="1" thickBot="1">
      <c r="E212" s="248" t="s">
        <v>1059</v>
      </c>
      <c r="F212" s="24">
        <f>'Green Hydrogen'!K6-F204</f>
        <v>0</v>
      </c>
    </row>
    <row r="213" spans="2:6" ht="13" thickTop="1"/>
    <row r="215" spans="2:6" ht="21" customHeight="1">
      <c r="B215" s="240" t="s">
        <v>1065</v>
      </c>
      <c r="F215" s="241" t="s">
        <v>986</v>
      </c>
    </row>
    <row r="216" spans="2:6" ht="13">
      <c r="B216" s="14" t="str">
        <f>B$8</f>
        <v>SOLAR</v>
      </c>
      <c r="F216" s="32">
        <f>F36</f>
        <v>0</v>
      </c>
    </row>
    <row r="217" spans="2:6" ht="13">
      <c r="B217" s="14" t="str">
        <f>B$61</f>
        <v>WIND</v>
      </c>
      <c r="F217" s="32">
        <f>F91</f>
        <v>0</v>
      </c>
    </row>
    <row r="218" spans="2:6" ht="13">
      <c r="B218" s="14" t="str">
        <f>B$115</f>
        <v>BESS</v>
      </c>
      <c r="F218" s="32">
        <f>F143</f>
        <v>0</v>
      </c>
    </row>
    <row r="219" spans="2:6" ht="13">
      <c r="B219" s="14" t="str">
        <f>B$166</f>
        <v>GREEN HYDROGEN</v>
      </c>
      <c r="F219" s="32">
        <f>F191</f>
        <v>0</v>
      </c>
    </row>
    <row r="220" spans="2:6" ht="13.5" thickBot="1">
      <c r="B220" s="14" t="s">
        <v>52</v>
      </c>
      <c r="F220" s="33">
        <f>SUM(F216:F219)</f>
        <v>0</v>
      </c>
    </row>
    <row r="221" spans="2:6" ht="13" thickTop="1"/>
    <row r="222" spans="2:6" ht="21" customHeight="1">
      <c r="B222" s="240" t="s">
        <v>1067</v>
      </c>
      <c r="F222" s="259" t="s">
        <v>1066</v>
      </c>
    </row>
    <row r="223" spans="2:6" ht="13">
      <c r="B223" s="14" t="str">
        <f>B$8</f>
        <v>SOLAR</v>
      </c>
      <c r="F223" s="32">
        <f>F45</f>
        <v>0</v>
      </c>
    </row>
    <row r="224" spans="2:6" ht="13">
      <c r="B224" s="14" t="str">
        <f>B$61</f>
        <v>WIND</v>
      </c>
      <c r="F224" s="32">
        <f>F100</f>
        <v>0</v>
      </c>
    </row>
    <row r="225" spans="2:6" ht="13">
      <c r="B225" s="14" t="str">
        <f>B$115</f>
        <v>BESS</v>
      </c>
      <c r="F225" s="32">
        <f>F151</f>
        <v>0</v>
      </c>
    </row>
    <row r="226" spans="2:6" ht="13">
      <c r="B226" s="14" t="str">
        <f>B$166</f>
        <v>GREEN HYDROGEN</v>
      </c>
      <c r="F226" s="32">
        <f>F200</f>
        <v>0</v>
      </c>
    </row>
    <row r="227" spans="2:6" ht="13.5" thickBot="1">
      <c r="B227" s="14" t="s">
        <v>52</v>
      </c>
      <c r="F227" s="33">
        <f>SUM(F223:F226)</f>
        <v>0</v>
      </c>
    </row>
    <row r="228" spans="2:6" ht="13" thickTop="1"/>
    <row r="229" spans="2:6" ht="21" customHeight="1">
      <c r="B229" s="240" t="s">
        <v>1068</v>
      </c>
      <c r="F229" s="259" t="s">
        <v>1066</v>
      </c>
    </row>
    <row r="230" spans="2:6" ht="13">
      <c r="B230" s="14" t="str">
        <f>B$8</f>
        <v>SOLAR</v>
      </c>
      <c r="F230" s="32">
        <f>F51</f>
        <v>0</v>
      </c>
    </row>
    <row r="231" spans="2:6" ht="13">
      <c r="B231" s="14" t="str">
        <f>B$61</f>
        <v>WIND</v>
      </c>
      <c r="F231" s="32">
        <f>F106</f>
        <v>0</v>
      </c>
    </row>
    <row r="232" spans="2:6" ht="13">
      <c r="B232" s="14" t="str">
        <f>B$115</f>
        <v>BESS</v>
      </c>
      <c r="F232" s="32">
        <f>F156</f>
        <v>0</v>
      </c>
    </row>
    <row r="233" spans="2:6" ht="13">
      <c r="B233" s="14" t="str">
        <f>B$166</f>
        <v>GREEN HYDROGEN</v>
      </c>
      <c r="F233" s="32">
        <f>F204</f>
        <v>0</v>
      </c>
    </row>
    <row r="234" spans="2:6" ht="13.5" thickBot="1">
      <c r="B234" s="14" t="s">
        <v>52</v>
      </c>
      <c r="F234" s="33">
        <f>SUM(F230:F233)</f>
        <v>0</v>
      </c>
    </row>
    <row r="235" spans="2:6" ht="13.5" thickTop="1" thickBot="1"/>
    <row r="236" spans="2:6" ht="14" thickTop="1" thickBot="1">
      <c r="F236" s="34">
        <f>F220-F227-F234</f>
        <v>0</v>
      </c>
    </row>
  </sheetData>
  <sheetProtection algorithmName="SHA-512" hashValue="IpyPZEL1TlmlInzQHvDzRfuKtIX27UVqbnZjqTiIOL29cvu9hvBh4rY7zdP/p3d4sONF6xTfN+IZZyktsrM9Wg==" saltValue="N2UicFLDX9M2iKnRLRnOBw==" spinCount="100000" sheet="1" objects="1" scenarios="1" autoFilter="0"/>
  <conditionalFormatting sqref="F9:F33">
    <cfRule type="dataBar" priority="8">
      <dataBar>
        <cfvo type="min"/>
        <cfvo type="max"/>
        <color theme="9"/>
      </dataBar>
      <extLst>
        <ext xmlns:x14="http://schemas.microsoft.com/office/spreadsheetml/2009/9/main" uri="{B025F937-C7B1-47D3-B67F-A62EFF666E3E}">
          <x14:id>{F7B2B7E8-3BAE-48D1-8C97-4F34FA1C021C}</x14:id>
        </ext>
      </extLst>
    </cfRule>
  </conditionalFormatting>
  <conditionalFormatting sqref="F62:F88">
    <cfRule type="dataBar" priority="14">
      <dataBar>
        <cfvo type="min"/>
        <cfvo type="max"/>
        <color theme="9"/>
      </dataBar>
      <extLst>
        <ext xmlns:x14="http://schemas.microsoft.com/office/spreadsheetml/2009/9/main" uri="{B025F937-C7B1-47D3-B67F-A62EFF666E3E}">
          <x14:id>{2262BE0B-DBAE-47F3-A1CB-273E1A446C3F}</x14:id>
        </ext>
      </extLst>
    </cfRule>
  </conditionalFormatting>
  <conditionalFormatting sqref="F116:F140">
    <cfRule type="dataBar" priority="2">
      <dataBar>
        <cfvo type="min"/>
        <cfvo type="max"/>
        <color theme="9"/>
      </dataBar>
      <extLst>
        <ext xmlns:x14="http://schemas.microsoft.com/office/spreadsheetml/2009/9/main" uri="{B025F937-C7B1-47D3-B67F-A62EFF666E3E}">
          <x14:id>{1DA25CB2-E379-4C9F-BBFC-524E917CFD87}</x14:id>
        </ext>
      </extLst>
    </cfRule>
  </conditionalFormatting>
  <conditionalFormatting sqref="F167:F188">
    <cfRule type="dataBar" priority="20">
      <dataBar>
        <cfvo type="min"/>
        <cfvo type="max"/>
        <color theme="9"/>
      </dataBar>
      <extLst>
        <ext xmlns:x14="http://schemas.microsoft.com/office/spreadsheetml/2009/9/main" uri="{B025F937-C7B1-47D3-B67F-A62EFF666E3E}">
          <x14:id>{43220D2B-1BA5-4183-8B61-E6AE66F74CCC}</x14:id>
        </ext>
      </extLst>
    </cfRule>
  </conditionalFormatting>
  <hyperlinks>
    <hyperlink ref="B3" location="Information" display="Return to Information" xr:uid="{5FDCB1BB-D985-4D79-97AA-8172A54B5B93}"/>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dataBar" id="{F7B2B7E8-3BAE-48D1-8C97-4F34FA1C021C}">
            <x14:dataBar minLength="0" maxLength="100" border="1" negativeBarBorderColorSameAsPositive="0">
              <x14:cfvo type="autoMin"/>
              <x14:cfvo type="autoMax"/>
              <x14:borderColor theme="9"/>
              <x14:negativeFillColor rgb="FFFF0000"/>
              <x14:negativeBorderColor rgb="FFFF0000"/>
              <x14:axisColor rgb="FF000000"/>
            </x14:dataBar>
          </x14:cfRule>
          <xm:sqref>F9:F33</xm:sqref>
        </x14:conditionalFormatting>
        <x14:conditionalFormatting xmlns:xm="http://schemas.microsoft.com/office/excel/2006/main">
          <x14:cfRule type="dataBar" id="{2262BE0B-DBAE-47F3-A1CB-273E1A446C3F}">
            <x14:dataBar minLength="0" maxLength="100" border="1" negativeBarBorderColorSameAsPositive="0">
              <x14:cfvo type="autoMin"/>
              <x14:cfvo type="autoMax"/>
              <x14:borderColor theme="9"/>
              <x14:negativeFillColor rgb="FFFF0000"/>
              <x14:negativeBorderColor rgb="FFFF0000"/>
              <x14:axisColor rgb="FF000000"/>
            </x14:dataBar>
          </x14:cfRule>
          <xm:sqref>F62:F88</xm:sqref>
        </x14:conditionalFormatting>
        <x14:conditionalFormatting xmlns:xm="http://schemas.microsoft.com/office/excel/2006/main">
          <x14:cfRule type="dataBar" id="{1DA25CB2-E379-4C9F-BBFC-524E917CFD87}">
            <x14:dataBar minLength="0" maxLength="100" border="1" negativeBarBorderColorSameAsPositive="0">
              <x14:cfvo type="autoMin"/>
              <x14:cfvo type="autoMax"/>
              <x14:borderColor theme="9"/>
              <x14:negativeFillColor rgb="FFFF0000"/>
              <x14:negativeBorderColor rgb="FFFF0000"/>
              <x14:axisColor rgb="FF000000"/>
            </x14:dataBar>
          </x14:cfRule>
          <xm:sqref>F116:F140</xm:sqref>
        </x14:conditionalFormatting>
        <x14:conditionalFormatting xmlns:xm="http://schemas.microsoft.com/office/excel/2006/main">
          <x14:cfRule type="dataBar" id="{43220D2B-1BA5-4183-8B61-E6AE66F74CCC}">
            <x14:dataBar minLength="0" maxLength="100" border="1" negativeBarBorderColorSameAsPositive="0">
              <x14:cfvo type="autoMin"/>
              <x14:cfvo type="autoMax"/>
              <x14:borderColor theme="9"/>
              <x14:negativeFillColor rgb="FFFF0000"/>
              <x14:negativeBorderColor rgb="FFFF0000"/>
              <x14:axisColor rgb="FF000000"/>
            </x14:dataBar>
          </x14:cfRule>
          <xm:sqref>F167:F188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57E5A-F04B-40BA-AF14-478561C82685}">
  <sheetPr codeName="Sheet5">
    <tabColor theme="9"/>
  </sheetPr>
  <dimension ref="B2:L330"/>
  <sheetViews>
    <sheetView showGridLines="0" zoomScale="85" zoomScaleNormal="85" workbookViewId="0">
      <pane xSplit="4" ySplit="8" topLeftCell="E9" activePane="bottomRight" state="frozen"/>
      <selection pane="topRight" activeCell="E1" sqref="E1"/>
      <selection pane="bottomLeft" activeCell="A10" sqref="A10"/>
      <selection pane="bottomRight" activeCell="C21" sqref="C21"/>
    </sheetView>
  </sheetViews>
  <sheetFormatPr defaultColWidth="8.7265625" defaultRowHeight="12.5"/>
  <cols>
    <col min="1" max="1" width="1.81640625" style="238" customWidth="1"/>
    <col min="2" max="2" width="56.1796875" style="238" customWidth="1"/>
    <col min="3" max="3" width="12.54296875" style="238" customWidth="1"/>
    <col min="4" max="4" width="14.81640625" style="238" customWidth="1"/>
    <col min="5" max="5" width="62.54296875" style="238" customWidth="1"/>
    <col min="6" max="6" width="15.1796875" style="238" customWidth="1"/>
    <col min="7" max="7" width="13.26953125" style="238" customWidth="1"/>
    <col min="8" max="8" width="12.54296875" style="238" customWidth="1"/>
    <col min="9" max="9" width="13.54296875" style="238" customWidth="1"/>
    <col min="10" max="10" width="14.81640625" style="238" customWidth="1"/>
    <col min="11" max="11" width="15.7265625" style="238" customWidth="1"/>
    <col min="12" max="12" width="53.7265625" style="238" customWidth="1"/>
    <col min="13" max="16384" width="8.7265625" style="238"/>
  </cols>
  <sheetData>
    <row r="2" spans="2:12" ht="16.5" customHeight="1">
      <c r="B2" s="237" t="str">
        <f>Project_Name</f>
        <v xml:space="preserve">South Australia Hydrogen and Renewable Energy Restoration Cost Estimation Tool </v>
      </c>
      <c r="J2" s="249" t="s">
        <v>56</v>
      </c>
      <c r="K2" s="35">
        <f>SUM(K23,K38,K44,K51,K61,K68,K78,K101,K115,K122,K132,K142,K162,K179,K192,K202,K212,K230,K241,K251,K261,K269,K279,K298,K290)</f>
        <v>0</v>
      </c>
    </row>
    <row r="3" spans="2:12" ht="3" customHeight="1">
      <c r="J3" s="249"/>
    </row>
    <row r="4" spans="2:12" ht="15.75" customHeight="1">
      <c r="B4" s="36" t="s">
        <v>31</v>
      </c>
      <c r="J4" s="249" t="s">
        <v>57</v>
      </c>
      <c r="K4" s="35">
        <f>K310+K315+K330</f>
        <v>0</v>
      </c>
    </row>
    <row r="5" spans="2:12" ht="3" customHeight="1">
      <c r="B5" s="248"/>
      <c r="J5" s="249"/>
    </row>
    <row r="6" spans="2:12" ht="16.5" customHeight="1">
      <c r="B6" s="36" t="s">
        <v>1280</v>
      </c>
      <c r="C6" s="248"/>
      <c r="E6" s="248"/>
      <c r="F6" s="248"/>
      <c r="G6" s="248"/>
      <c r="H6" s="248"/>
      <c r="I6" s="248"/>
      <c r="J6" s="249" t="s">
        <v>58</v>
      </c>
      <c r="K6" s="35">
        <f>K2-K4</f>
        <v>0</v>
      </c>
    </row>
    <row r="7" spans="2:12" ht="3" customHeight="1"/>
    <row r="8" spans="2:12" ht="17.25" customHeight="1">
      <c r="B8" s="216" t="s">
        <v>11</v>
      </c>
      <c r="C8" s="216"/>
      <c r="D8" s="216"/>
      <c r="E8" s="216"/>
      <c r="F8" s="216"/>
      <c r="G8" s="216"/>
      <c r="H8" s="216"/>
      <c r="I8" s="216"/>
      <c r="J8" s="216"/>
      <c r="K8" s="216"/>
      <c r="L8" s="216" t="s">
        <v>59</v>
      </c>
    </row>
    <row r="9" spans="2:12" ht="13">
      <c r="B9" s="260"/>
      <c r="C9" s="260"/>
      <c r="D9" s="260"/>
      <c r="G9" s="260"/>
      <c r="H9" s="260"/>
      <c r="I9" s="260"/>
      <c r="J9" s="260"/>
      <c r="K9" s="260"/>
      <c r="L9" s="260"/>
    </row>
    <row r="10" spans="2:12" ht="13">
      <c r="B10" s="217" t="s">
        <v>60</v>
      </c>
      <c r="C10" s="217"/>
      <c r="D10" s="217"/>
      <c r="E10" s="217"/>
      <c r="F10" s="217"/>
      <c r="G10" s="217"/>
      <c r="H10" s="217"/>
      <c r="I10" s="217"/>
      <c r="J10" s="217"/>
      <c r="K10" s="217"/>
      <c r="L10" s="217"/>
    </row>
    <row r="11" spans="2:12" ht="13">
      <c r="B11" s="37" t="s">
        <v>61</v>
      </c>
      <c r="C11" s="67"/>
      <c r="D11" s="238" t="s">
        <v>62</v>
      </c>
      <c r="G11" s="260"/>
      <c r="H11" s="260"/>
      <c r="I11" s="260"/>
      <c r="J11" s="260"/>
      <c r="K11" s="260"/>
      <c r="L11" s="70"/>
    </row>
    <row r="12" spans="2:12" ht="13">
      <c r="B12" s="37" t="s">
        <v>63</v>
      </c>
      <c r="C12" s="67"/>
      <c r="D12" s="238" t="s">
        <v>1064</v>
      </c>
      <c r="G12" s="260"/>
      <c r="H12" s="260"/>
      <c r="I12" s="260"/>
      <c r="J12" s="260"/>
      <c r="K12" s="260"/>
      <c r="L12" s="70"/>
    </row>
    <row r="13" spans="2:12" ht="25">
      <c r="B13" s="37" t="s">
        <v>65</v>
      </c>
      <c r="C13" s="68" t="s">
        <v>436</v>
      </c>
      <c r="G13" s="260"/>
      <c r="H13" s="260"/>
      <c r="I13" s="260"/>
      <c r="J13" s="260"/>
      <c r="K13" s="260"/>
      <c r="L13" s="70"/>
    </row>
    <row r="14" spans="2:12" ht="13">
      <c r="B14" s="37" t="s">
        <v>68</v>
      </c>
      <c r="C14" s="69"/>
      <c r="D14" s="238" t="s">
        <v>69</v>
      </c>
      <c r="G14" s="260"/>
      <c r="H14" s="260"/>
      <c r="I14" s="260"/>
      <c r="J14" s="260"/>
      <c r="K14" s="260"/>
      <c r="L14" s="70"/>
    </row>
    <row r="15" spans="2:12">
      <c r="L15" s="70"/>
    </row>
    <row r="16" spans="2:12" ht="13">
      <c r="B16" s="217" t="s">
        <v>70</v>
      </c>
      <c r="C16" s="217"/>
      <c r="D16" s="217"/>
      <c r="E16" s="217"/>
      <c r="F16" s="217"/>
      <c r="G16" s="217"/>
      <c r="H16" s="217"/>
      <c r="I16" s="217"/>
      <c r="J16" s="217"/>
      <c r="K16" s="217"/>
      <c r="L16" s="217"/>
    </row>
    <row r="17" spans="2:12" ht="13">
      <c r="B17" s="261" t="s">
        <v>71</v>
      </c>
      <c r="C17" s="262" t="s">
        <v>72</v>
      </c>
      <c r="D17" s="262" t="s">
        <v>51</v>
      </c>
      <c r="E17" s="260"/>
      <c r="G17" s="263" t="s">
        <v>50</v>
      </c>
      <c r="H17" s="263" t="s">
        <v>73</v>
      </c>
      <c r="I17" s="263" t="s">
        <v>74</v>
      </c>
      <c r="J17" s="263" t="s">
        <v>75</v>
      </c>
      <c r="K17" s="263" t="s">
        <v>76</v>
      </c>
      <c r="L17" s="70"/>
    </row>
    <row r="18" spans="2:12" ht="13">
      <c r="B18" s="37" t="str" cm="1">
        <f t="array" ref="B18:B21">'Cost Schedule'!B53:B56</f>
        <v>Disconnect grid - major</v>
      </c>
      <c r="C18" s="71"/>
      <c r="D18" s="238" t="s">
        <v>77</v>
      </c>
      <c r="E18" s="257"/>
      <c r="F18" s="264"/>
      <c r="G18" s="38">
        <f>'Cost Schedule'!C53</f>
        <v>35874.617880143458</v>
      </c>
      <c r="H18" s="72"/>
      <c r="I18" s="39">
        <f>IF(H18="",G18,H18)</f>
        <v>35874.617880143458</v>
      </c>
      <c r="J18" s="238" t="s">
        <v>78</v>
      </c>
      <c r="K18" s="40">
        <f>I18*C18</f>
        <v>0</v>
      </c>
      <c r="L18" s="73"/>
    </row>
    <row r="19" spans="2:12" ht="13">
      <c r="B19" s="37" t="str">
        <v>Disconnect grid - minor</v>
      </c>
      <c r="C19" s="71"/>
      <c r="D19" s="238" t="s">
        <v>77</v>
      </c>
      <c r="E19" s="257"/>
      <c r="F19" s="264"/>
      <c r="G19" s="38">
        <f>'Cost Schedule'!C54</f>
        <v>25874.617880143454</v>
      </c>
      <c r="H19" s="72"/>
      <c r="I19" s="39">
        <f>IF(H19="",G19,H19)</f>
        <v>25874.617880143454</v>
      </c>
      <c r="J19" s="238" t="s">
        <v>78</v>
      </c>
      <c r="K19" s="40">
        <f>I19*C19</f>
        <v>0</v>
      </c>
      <c r="L19" s="73"/>
    </row>
    <row r="20" spans="2:12" ht="13">
      <c r="B20" s="37" t="str">
        <v>Disconnect utilities (site-wide)</v>
      </c>
      <c r="C20" s="71"/>
      <c r="D20" s="238" t="s">
        <v>77</v>
      </c>
      <c r="E20" s="257"/>
      <c r="F20" s="264"/>
      <c r="G20" s="38">
        <f>'Cost Schedule'!C55</f>
        <v>25874.617880143454</v>
      </c>
      <c r="H20" s="72"/>
      <c r="I20" s="39">
        <f>IF(H20="",G20,H20)</f>
        <v>25874.617880143454</v>
      </c>
      <c r="J20" s="238" t="s">
        <v>78</v>
      </c>
      <c r="K20" s="41">
        <f>I20*C20</f>
        <v>0</v>
      </c>
      <c r="L20" s="73"/>
    </row>
    <row r="21" spans="2:12" ht="13">
      <c r="B21" s="37" t="str">
        <v>Disconnect utilities (remote)</v>
      </c>
      <c r="C21" s="71"/>
      <c r="D21" s="238" t="s">
        <v>77</v>
      </c>
      <c r="E21" s="257"/>
      <c r="F21" s="264"/>
      <c r="G21" s="38">
        <f>'Cost Schedule'!C56</f>
        <v>20874.617880143454</v>
      </c>
      <c r="H21" s="72"/>
      <c r="I21" s="39">
        <f>IF(H21="",G21,H21)</f>
        <v>20874.617880143454</v>
      </c>
      <c r="J21" s="238" t="s">
        <v>78</v>
      </c>
      <c r="K21" s="41">
        <f>I21*C21</f>
        <v>0</v>
      </c>
      <c r="L21" s="73"/>
    </row>
    <row r="22" spans="2:12">
      <c r="L22" s="70"/>
    </row>
    <row r="23" spans="2:12" ht="13">
      <c r="B23" s="249" t="s">
        <v>79</v>
      </c>
      <c r="C23" s="42">
        <f>SUM(C17:C22)</f>
        <v>0</v>
      </c>
      <c r="D23" s="238" t="s">
        <v>77</v>
      </c>
      <c r="H23" s="265" t="s">
        <v>80</v>
      </c>
      <c r="I23" s="39">
        <f>IF(C23=0,0,K23/C23)</f>
        <v>0</v>
      </c>
      <c r="J23" s="266" t="s">
        <v>81</v>
      </c>
      <c r="K23" s="43">
        <f>SUM(K17:K22)</f>
        <v>0</v>
      </c>
      <c r="L23" s="73"/>
    </row>
    <row r="24" spans="2:12" ht="13">
      <c r="B24" s="260"/>
      <c r="C24" s="260"/>
      <c r="D24" s="260"/>
      <c r="G24" s="260"/>
      <c r="H24" s="260"/>
      <c r="I24" s="260"/>
      <c r="J24" s="260"/>
      <c r="K24" s="260"/>
      <c r="L24" s="70"/>
    </row>
    <row r="25" spans="2:12" ht="13">
      <c r="B25" s="217" t="s">
        <v>82</v>
      </c>
      <c r="C25" s="217"/>
      <c r="D25" s="217"/>
      <c r="E25" s="217"/>
      <c r="F25" s="217"/>
      <c r="G25" s="217"/>
      <c r="H25" s="217"/>
      <c r="I25" s="217"/>
      <c r="J25" s="217"/>
      <c r="K25" s="217"/>
      <c r="L25" s="217"/>
    </row>
    <row r="26" spans="2:12" s="257" customFormat="1" ht="26">
      <c r="B26" s="267" t="s">
        <v>71</v>
      </c>
      <c r="C26" s="268" t="s">
        <v>72</v>
      </c>
      <c r="D26" s="268" t="s">
        <v>51</v>
      </c>
      <c r="E26" s="269" t="s">
        <v>83</v>
      </c>
      <c r="G26" s="270" t="s">
        <v>50</v>
      </c>
      <c r="H26" s="270" t="s">
        <v>73</v>
      </c>
      <c r="I26" s="270" t="s">
        <v>74</v>
      </c>
      <c r="J26" s="270" t="s">
        <v>75</v>
      </c>
      <c r="K26" s="270" t="s">
        <v>76</v>
      </c>
      <c r="L26" s="44" t="s">
        <v>84</v>
      </c>
    </row>
    <row r="27" spans="2:12" s="257" customFormat="1" ht="13">
      <c r="B27" s="37" t="s">
        <v>85</v>
      </c>
      <c r="C27" s="67"/>
      <c r="D27" s="257" t="s">
        <v>86</v>
      </c>
      <c r="E27" s="74" t="s">
        <v>87</v>
      </c>
      <c r="F27" s="271"/>
      <c r="G27" s="38">
        <f>'Cost Schedule'!C62</f>
        <v>2688.448675089659</v>
      </c>
      <c r="H27" s="72"/>
      <c r="I27" s="39">
        <f t="shared" ref="I27:I36" si="0">IF(H27="",G27,H27)</f>
        <v>2688.448675089659</v>
      </c>
      <c r="J27" s="257" t="s">
        <v>86</v>
      </c>
      <c r="K27" s="45">
        <f t="shared" ref="K27:K32" si="1">I27*C27</f>
        <v>0</v>
      </c>
      <c r="L27" s="73"/>
    </row>
    <row r="28" spans="2:12" s="257" customFormat="1" ht="13">
      <c r="B28" s="37" t="s">
        <v>88</v>
      </c>
      <c r="C28" s="67"/>
      <c r="D28" s="257" t="s">
        <v>86</v>
      </c>
      <c r="E28" s="74" t="s">
        <v>89</v>
      </c>
      <c r="F28" s="271"/>
      <c r="G28" s="38">
        <f>'Cost Schedule'!C63</f>
        <v>3451.6632667463637</v>
      </c>
      <c r="H28" s="72"/>
      <c r="I28" s="39">
        <f t="shared" si="0"/>
        <v>3451.6632667463637</v>
      </c>
      <c r="J28" s="257" t="s">
        <v>86</v>
      </c>
      <c r="K28" s="45">
        <f t="shared" si="1"/>
        <v>0</v>
      </c>
      <c r="L28" s="73"/>
    </row>
    <row r="29" spans="2:12" s="257" customFormat="1" ht="13">
      <c r="B29" s="37" t="s">
        <v>90</v>
      </c>
      <c r="C29" s="67"/>
      <c r="D29" s="257" t="s">
        <v>86</v>
      </c>
      <c r="E29" s="74" t="s">
        <v>91</v>
      </c>
      <c r="F29" s="271"/>
      <c r="G29" s="38">
        <f>'Cost Schedule'!C64</f>
        <v>16082.484700358636</v>
      </c>
      <c r="H29" s="72"/>
      <c r="I29" s="39">
        <f t="shared" si="0"/>
        <v>16082.484700358636</v>
      </c>
      <c r="J29" s="257" t="s">
        <v>86</v>
      </c>
      <c r="K29" s="45">
        <f t="shared" si="1"/>
        <v>0</v>
      </c>
      <c r="L29" s="73"/>
    </row>
    <row r="30" spans="2:12" s="257" customFormat="1" ht="13">
      <c r="B30" s="37" t="s">
        <v>92</v>
      </c>
      <c r="C30" s="67"/>
      <c r="D30" s="257" t="s">
        <v>86</v>
      </c>
      <c r="E30" s="74" t="s">
        <v>93</v>
      </c>
      <c r="F30" s="271"/>
      <c r="G30" s="38">
        <f>'Cost Schedule'!C65</f>
        <v>3573.8854889685858</v>
      </c>
      <c r="H30" s="72"/>
      <c r="I30" s="39">
        <f t="shared" si="0"/>
        <v>3573.8854889685858</v>
      </c>
      <c r="J30" s="257" t="s">
        <v>86</v>
      </c>
      <c r="K30" s="45">
        <f t="shared" si="1"/>
        <v>0</v>
      </c>
      <c r="L30" s="73"/>
    </row>
    <row r="31" spans="2:12" s="257" customFormat="1" ht="13">
      <c r="B31" s="37" t="s">
        <v>94</v>
      </c>
      <c r="C31" s="67"/>
      <c r="D31" s="257" t="s">
        <v>86</v>
      </c>
      <c r="E31" s="74" t="s">
        <v>95</v>
      </c>
      <c r="F31" s="271"/>
      <c r="G31" s="38">
        <f>'Cost Schedule'!C66</f>
        <v>16082.484700358636</v>
      </c>
      <c r="H31" s="72"/>
      <c r="I31" s="39">
        <f t="shared" si="0"/>
        <v>16082.484700358636</v>
      </c>
      <c r="J31" s="257" t="s">
        <v>86</v>
      </c>
      <c r="K31" s="45">
        <f t="shared" si="1"/>
        <v>0</v>
      </c>
      <c r="L31" s="73"/>
    </row>
    <row r="32" spans="2:12" s="257" customFormat="1" ht="13">
      <c r="B32" s="37" t="s">
        <v>96</v>
      </c>
      <c r="C32" s="67"/>
      <c r="D32" s="257" t="s">
        <v>86</v>
      </c>
      <c r="E32" s="74" t="s">
        <v>97</v>
      </c>
      <c r="F32" s="271"/>
      <c r="G32" s="38">
        <f>'Cost Schedule'!C67</f>
        <v>134.34486750896593</v>
      </c>
      <c r="H32" s="72"/>
      <c r="I32" s="39">
        <f t="shared" si="0"/>
        <v>134.34486750896593</v>
      </c>
      <c r="J32" s="257" t="s">
        <v>86</v>
      </c>
      <c r="K32" s="45">
        <f t="shared" si="1"/>
        <v>0</v>
      </c>
      <c r="L32" s="73"/>
    </row>
    <row r="33" spans="2:12" s="257" customFormat="1" ht="13">
      <c r="B33" s="37" t="s">
        <v>98</v>
      </c>
      <c r="C33" s="46">
        <f>_xlfn.XLOOKUP(E27,Assumptions!B33:B34,Assumptions!E33:E34)*C27*_xlfn.XLOOKUP(E33,Copper_cables_haul_unload_names_UR,Cable_drums_haul_unload_distance_avg)</f>
        <v>0</v>
      </c>
      <c r="D33" s="257" t="s">
        <v>99</v>
      </c>
      <c r="E33" s="74" t="s">
        <v>100</v>
      </c>
      <c r="F33" s="271"/>
      <c r="G33" s="47">
        <f>_xlfn.XLOOKUP(E33, Copper_cables_haul_unload_names_UR,Copper_cables_haul_unload_rates_UR)</f>
        <v>0.16306423611111109</v>
      </c>
      <c r="H33" s="72"/>
      <c r="I33" s="48">
        <f t="shared" si="0"/>
        <v>0.16306423611111109</v>
      </c>
      <c r="J33" s="257" t="s">
        <v>99</v>
      </c>
      <c r="K33" s="49">
        <f>I33*C33</f>
        <v>0</v>
      </c>
      <c r="L33" s="73"/>
    </row>
    <row r="34" spans="2:12" s="257" customFormat="1" ht="13">
      <c r="B34" s="37" t="s">
        <v>101</v>
      </c>
      <c r="C34" s="46">
        <f>C28*_xlfn.XLOOKUP(E28,Electrical_cables_names_Ass,Electrical_cables_km_per_drum_Ass)+Solar!C29*_xlfn.XLOOKUP(Solar!E29,Electrical_cables_names_Ass,Electrical_cables_km_per_drum_Ass)*_xlfn.XLOOKUP(E34,Cable_drums_haul_unload_names_UR,Cable_drums_haul_unload_distance_avg)</f>
        <v>0</v>
      </c>
      <c r="D34" s="257" t="s">
        <v>102</v>
      </c>
      <c r="E34" s="74" t="s">
        <v>103</v>
      </c>
      <c r="F34" s="271"/>
      <c r="G34" s="47">
        <f>_xlfn.XLOOKUP(E34, Cable_drums_haul_unload_names_UR,Cable_drums_haul_unload_rates_UR)</f>
        <v>1.3847916666666662</v>
      </c>
      <c r="H34" s="72"/>
      <c r="I34" s="48">
        <f t="shared" si="0"/>
        <v>1.3847916666666662</v>
      </c>
      <c r="J34" s="257" t="s">
        <v>102</v>
      </c>
      <c r="K34" s="49">
        <f>I34*C34</f>
        <v>0</v>
      </c>
      <c r="L34" s="73"/>
    </row>
    <row r="35" spans="2:12" s="257" customFormat="1" ht="13">
      <c r="B35" s="37" t="s">
        <v>104</v>
      </c>
      <c r="C35" s="46">
        <f>C30*_xlfn.XLOOKUP(E30,Electrical_cables_names_Ass,Electrical_cables_km_per_drum_Ass)+C31*_xlfn.XLOOKUP(E31,Electrical_cables_names_Ass,Electrical_cables_km_per_drum_Ass)*_xlfn.XLOOKUP(E35,Cable_drums_haul_unload_names_UR,Cable_drums_haul_unload_distance_avg)</f>
        <v>0</v>
      </c>
      <c r="D35" s="257" t="s">
        <v>102</v>
      </c>
      <c r="E35" s="74" t="s">
        <v>103</v>
      </c>
      <c r="F35" s="271"/>
      <c r="G35" s="47">
        <f>_xlfn.XLOOKUP(E35, Cable_drums_haul_unload_names_UR,Cable_drums_haul_unload_rates_UR)</f>
        <v>1.3847916666666662</v>
      </c>
      <c r="H35" s="72"/>
      <c r="I35" s="48">
        <f t="shared" si="0"/>
        <v>1.3847916666666662</v>
      </c>
      <c r="J35" s="257" t="s">
        <v>102</v>
      </c>
      <c r="K35" s="49">
        <f>I35*C35</f>
        <v>0</v>
      </c>
      <c r="L35" s="73"/>
    </row>
    <row r="36" spans="2:12" s="257" customFormat="1" ht="13">
      <c r="B36" s="37" t="s">
        <v>105</v>
      </c>
      <c r="C36" s="46">
        <f>C32*_xlfn.XLOOKUP(E32,Electrical_cables_names_Ass,Electrical_cables_km_per_drum_Ass)*_xlfn.XLOOKUP(E36,Cable_drums_haul_unload_names_UR,Cable_drums_haul_unload_distance_avg)</f>
        <v>0</v>
      </c>
      <c r="D36" s="257" t="s">
        <v>99</v>
      </c>
      <c r="E36" s="74" t="s">
        <v>103</v>
      </c>
      <c r="F36" s="271"/>
      <c r="G36" s="47">
        <f>_xlfn.XLOOKUP(E36, Cable_drums_haul_unload_names_UR,Cable_drums_haul_unload_rates_UR)</f>
        <v>1.3847916666666662</v>
      </c>
      <c r="H36" s="72"/>
      <c r="I36" s="48">
        <f t="shared" si="0"/>
        <v>1.3847916666666662</v>
      </c>
      <c r="J36" s="257" t="str">
        <f>D36</f>
        <v>t-km</v>
      </c>
      <c r="K36" s="45">
        <f>I36*C36</f>
        <v>0</v>
      </c>
      <c r="L36" s="73"/>
    </row>
    <row r="37" spans="2:12" s="257" customFormat="1">
      <c r="C37" s="272"/>
      <c r="I37" s="273"/>
      <c r="L37" s="70"/>
    </row>
    <row r="38" spans="2:12" s="257" customFormat="1" ht="13">
      <c r="B38" s="249" t="str">
        <f>B$23</f>
        <v>Totals</v>
      </c>
      <c r="C38" s="274">
        <f>SUM(C26:C32)</f>
        <v>0</v>
      </c>
      <c r="D38" s="257" t="s">
        <v>86</v>
      </c>
      <c r="H38" s="275" t="s">
        <v>106</v>
      </c>
      <c r="I38" s="50">
        <f>IF(C38=0,0,K38/C38)</f>
        <v>0</v>
      </c>
      <c r="J38" s="276" t="s">
        <v>107</v>
      </c>
      <c r="K38" s="51">
        <f>SUM(K26:K37)</f>
        <v>0</v>
      </c>
      <c r="L38" s="73"/>
    </row>
    <row r="39" spans="2:12" s="257" customFormat="1">
      <c r="L39" s="70"/>
    </row>
    <row r="40" spans="2:12" ht="13">
      <c r="B40" s="217" t="s">
        <v>108</v>
      </c>
      <c r="C40" s="217"/>
      <c r="D40" s="217"/>
      <c r="E40" s="217"/>
      <c r="F40" s="217"/>
      <c r="G40" s="217"/>
      <c r="H40" s="217"/>
      <c r="I40" s="217"/>
      <c r="J40" s="217"/>
      <c r="K40" s="217"/>
      <c r="L40" s="217"/>
    </row>
    <row r="41" spans="2:12" ht="13">
      <c r="B41" s="261" t="s">
        <v>71</v>
      </c>
      <c r="C41" s="262" t="s">
        <v>72</v>
      </c>
      <c r="D41" s="262" t="s">
        <v>51</v>
      </c>
      <c r="F41" s="264"/>
      <c r="G41" s="263" t="s">
        <v>50</v>
      </c>
      <c r="H41" s="263" t="s">
        <v>73</v>
      </c>
      <c r="I41" s="263" t="s">
        <v>74</v>
      </c>
      <c r="J41" s="263" t="s">
        <v>75</v>
      </c>
      <c r="K41" s="263" t="s">
        <v>76</v>
      </c>
      <c r="L41" s="70"/>
    </row>
    <row r="42" spans="2:12" ht="13">
      <c r="B42" s="37" t="s">
        <v>109</v>
      </c>
      <c r="C42" s="75"/>
      <c r="D42" s="238" t="s">
        <v>86</v>
      </c>
      <c r="F42" s="264"/>
      <c r="G42" s="52">
        <f>Remove_powerline_rate</f>
        <v>18576.11892137249</v>
      </c>
      <c r="H42" s="72"/>
      <c r="I42" s="39">
        <f>IF(H42="",G42,H42)</f>
        <v>18576.11892137249</v>
      </c>
      <c r="J42" s="238" t="s">
        <v>86</v>
      </c>
      <c r="K42" s="45">
        <f>I42*C42</f>
        <v>0</v>
      </c>
      <c r="L42" s="73"/>
    </row>
    <row r="43" spans="2:12" ht="13">
      <c r="B43" s="260"/>
      <c r="C43" s="260"/>
      <c r="D43" s="260"/>
      <c r="F43" s="264"/>
      <c r="G43" s="260"/>
      <c r="H43" s="260"/>
      <c r="I43" s="277"/>
      <c r="J43" s="260"/>
      <c r="K43" s="260"/>
      <c r="L43" s="70"/>
    </row>
    <row r="44" spans="2:12" ht="13">
      <c r="B44" s="249" t="str">
        <f>B$23</f>
        <v>Totals</v>
      </c>
      <c r="C44" s="53">
        <f>SUM(C41:C43)</f>
        <v>0</v>
      </c>
      <c r="D44" s="238" t="s">
        <v>86</v>
      </c>
      <c r="H44" s="265" t="s">
        <v>110</v>
      </c>
      <c r="I44" s="39">
        <f>IF(C44=0,0,K44/C44)</f>
        <v>0</v>
      </c>
      <c r="J44" s="266" t="s">
        <v>107</v>
      </c>
      <c r="K44" s="43">
        <f>SUM(K41:K43)</f>
        <v>0</v>
      </c>
      <c r="L44" s="73"/>
    </row>
    <row r="45" spans="2:12" ht="13">
      <c r="B45" s="260"/>
      <c r="C45" s="260"/>
      <c r="D45" s="260"/>
      <c r="G45" s="260"/>
      <c r="H45" s="260"/>
      <c r="I45" s="260"/>
      <c r="J45" s="260"/>
      <c r="K45" s="260"/>
      <c r="L45" s="70"/>
    </row>
    <row r="46" spans="2:12" ht="13">
      <c r="B46" s="217" t="s">
        <v>1298</v>
      </c>
      <c r="C46" s="217"/>
      <c r="D46" s="217"/>
      <c r="E46" s="217"/>
      <c r="F46" s="217"/>
      <c r="G46" s="217"/>
      <c r="H46" s="217"/>
      <c r="I46" s="217"/>
      <c r="J46" s="217"/>
      <c r="K46" s="217"/>
      <c r="L46" s="217"/>
    </row>
    <row r="47" spans="2:12" ht="13">
      <c r="B47" s="261" t="s">
        <v>71</v>
      </c>
      <c r="C47" s="262" t="s">
        <v>72</v>
      </c>
      <c r="D47" s="262" t="s">
        <v>51</v>
      </c>
      <c r="F47" s="264"/>
      <c r="G47" s="263" t="s">
        <v>50</v>
      </c>
      <c r="H47" s="263" t="s">
        <v>73</v>
      </c>
      <c r="I47" s="263" t="s">
        <v>74</v>
      </c>
      <c r="J47" s="263" t="s">
        <v>75</v>
      </c>
      <c r="K47" s="263" t="s">
        <v>76</v>
      </c>
      <c r="L47" s="70"/>
    </row>
    <row r="48" spans="2:12" ht="13">
      <c r="B48" s="37" t="s">
        <v>112</v>
      </c>
      <c r="C48" s="71"/>
      <c r="D48" s="238" t="s">
        <v>113</v>
      </c>
      <c r="F48" s="264"/>
      <c r="G48" s="52">
        <f>Remove_met_mast_rate</f>
        <v>4583.4674525698738</v>
      </c>
      <c r="H48" s="72"/>
      <c r="I48" s="39">
        <f>IF(H48="",G48,H48)</f>
        <v>4583.4674525698738</v>
      </c>
      <c r="J48" s="238" t="s">
        <v>114</v>
      </c>
      <c r="K48" s="45">
        <f>I48*C48</f>
        <v>0</v>
      </c>
      <c r="L48" s="70"/>
    </row>
    <row r="49" spans="2:12" ht="13">
      <c r="B49" s="37" t="s">
        <v>1299</v>
      </c>
      <c r="C49" s="71"/>
      <c r="D49" s="238" t="s">
        <v>391</v>
      </c>
      <c r="F49" s="264"/>
      <c r="G49" s="52">
        <f>'Cost Schedule'!C354</f>
        <v>25952.834322525701</v>
      </c>
      <c r="H49" s="72"/>
      <c r="I49" s="39">
        <f>IF(H49="",G49,H49)</f>
        <v>25952.834322525701</v>
      </c>
      <c r="J49" s="238" t="s">
        <v>114</v>
      </c>
      <c r="K49" s="45">
        <f>I49*C49</f>
        <v>0</v>
      </c>
      <c r="L49" s="70"/>
    </row>
    <row r="50" spans="2:12">
      <c r="L50" s="70"/>
    </row>
    <row r="51" spans="2:12" ht="13">
      <c r="B51" s="249" t="str">
        <f>B$23</f>
        <v>Totals</v>
      </c>
      <c r="C51" s="42">
        <f>SUM(C47:C50)</f>
        <v>0</v>
      </c>
      <c r="D51" s="238" t="s">
        <v>1300</v>
      </c>
      <c r="H51" s="265" t="s">
        <v>115</v>
      </c>
      <c r="I51" s="39">
        <f>IF(C51=0,0,K51/C51)</f>
        <v>0</v>
      </c>
      <c r="J51" s="266" t="s">
        <v>116</v>
      </c>
      <c r="K51" s="43">
        <f>SUM(K47:K50)</f>
        <v>0</v>
      </c>
      <c r="L51" s="73"/>
    </row>
    <row r="52" spans="2:12" ht="13">
      <c r="B52" s="260"/>
      <c r="C52" s="260"/>
      <c r="D52" s="260"/>
      <c r="G52" s="260"/>
      <c r="H52" s="260"/>
      <c r="I52" s="260"/>
      <c r="J52" s="260"/>
      <c r="K52" s="260"/>
      <c r="L52" s="70"/>
    </row>
    <row r="53" spans="2:12" ht="13">
      <c r="B53" s="217" t="s">
        <v>117</v>
      </c>
      <c r="C53" s="217"/>
      <c r="D53" s="217"/>
      <c r="E53" s="217"/>
      <c r="F53" s="217"/>
      <c r="G53" s="217"/>
      <c r="H53" s="217"/>
      <c r="I53" s="217"/>
      <c r="J53" s="217"/>
      <c r="K53" s="217"/>
      <c r="L53" s="217"/>
    </row>
    <row r="54" spans="2:12" ht="13">
      <c r="B54" s="261" t="s">
        <v>71</v>
      </c>
      <c r="C54" s="262" t="s">
        <v>72</v>
      </c>
      <c r="D54" s="262" t="s">
        <v>51</v>
      </c>
      <c r="E54" s="264" t="s">
        <v>83</v>
      </c>
      <c r="F54" s="264"/>
      <c r="G54" s="263" t="s">
        <v>50</v>
      </c>
      <c r="H54" s="263" t="s">
        <v>73</v>
      </c>
      <c r="I54" s="263" t="s">
        <v>74</v>
      </c>
      <c r="J54" s="263" t="s">
        <v>75</v>
      </c>
      <c r="K54" s="263" t="s">
        <v>76</v>
      </c>
      <c r="L54" s="70"/>
    </row>
    <row r="55" spans="2:12" ht="13">
      <c r="B55" s="37" t="s">
        <v>118</v>
      </c>
      <c r="C55" s="71"/>
      <c r="D55" s="238" t="s">
        <v>119</v>
      </c>
      <c r="E55" s="74" t="s">
        <v>120</v>
      </c>
      <c r="F55" s="264"/>
      <c r="G55" s="52">
        <f>_xlfn.XLOOKUP(E55,Substation_sizes_UR,Substation_rates_UR)</f>
        <v>127299.02471965126</v>
      </c>
      <c r="H55" s="72"/>
      <c r="I55" s="39">
        <f>IF(H55="",G55,H55)</f>
        <v>127299.02471965126</v>
      </c>
      <c r="J55" s="238" t="s">
        <v>121</v>
      </c>
      <c r="K55" s="45">
        <f>I55*C55</f>
        <v>0</v>
      </c>
      <c r="L55" s="73"/>
    </row>
    <row r="56" spans="2:12" ht="13">
      <c r="B56" s="37" t="s">
        <v>122</v>
      </c>
      <c r="C56" s="71"/>
      <c r="D56" s="238" t="s">
        <v>119</v>
      </c>
      <c r="E56" s="74" t="s">
        <v>123</v>
      </c>
      <c r="F56" s="264"/>
      <c r="G56" s="52">
        <f>_xlfn.XLOOKUP(E56,Substation_sizes_UR,Substation_rates_UR)</f>
        <v>260457.16548370387</v>
      </c>
      <c r="H56" s="72"/>
      <c r="I56" s="39">
        <f>IF(H56="",G56,H56)</f>
        <v>260457.16548370387</v>
      </c>
      <c r="J56" s="238" t="s">
        <v>121</v>
      </c>
      <c r="K56" s="45">
        <f>I56*C56</f>
        <v>0</v>
      </c>
      <c r="L56" s="70"/>
    </row>
    <row r="57" spans="2:12" ht="13">
      <c r="B57" s="37" t="s">
        <v>124</v>
      </c>
      <c r="C57" s="71"/>
      <c r="D57" s="238" t="s">
        <v>119</v>
      </c>
      <c r="E57" s="74" t="s">
        <v>125</v>
      </c>
      <c r="F57" s="264"/>
      <c r="G57" s="52">
        <f>_xlfn.XLOOKUP(E57,Substation_sizes_UR,Substation_rates_UR)</f>
        <v>431302.77125752135</v>
      </c>
      <c r="H57" s="72"/>
      <c r="I57" s="39">
        <f>IF(H57="",G57,H57)</f>
        <v>431302.77125752135</v>
      </c>
      <c r="J57" s="238" t="s">
        <v>121</v>
      </c>
      <c r="K57" s="45">
        <f>I57*C57</f>
        <v>0</v>
      </c>
      <c r="L57" s="73"/>
    </row>
    <row r="58" spans="2:12" ht="13">
      <c r="B58" s="37" t="s">
        <v>126</v>
      </c>
      <c r="C58" s="71"/>
      <c r="D58" s="238" t="s">
        <v>119</v>
      </c>
      <c r="E58" s="74" t="s">
        <v>123</v>
      </c>
      <c r="F58" s="264"/>
      <c r="G58" s="52">
        <f>_xlfn.XLOOKUP(E58,Substation_sizes_UR,Substation_rates_UR)</f>
        <v>260457.16548370387</v>
      </c>
      <c r="H58" s="72"/>
      <c r="I58" s="39">
        <f>IF(H58="",G58,H58)</f>
        <v>260457.16548370387</v>
      </c>
      <c r="J58" s="238" t="s">
        <v>121</v>
      </c>
      <c r="K58" s="45">
        <f>I58*C58</f>
        <v>0</v>
      </c>
      <c r="L58" s="70"/>
    </row>
    <row r="59" spans="2:12" ht="13">
      <c r="B59" s="37" t="s">
        <v>127</v>
      </c>
      <c r="C59" s="71"/>
      <c r="D59" s="238" t="s">
        <v>119</v>
      </c>
      <c r="E59" s="74" t="s">
        <v>123</v>
      </c>
      <c r="F59" s="264"/>
      <c r="G59" s="52">
        <f>_xlfn.XLOOKUP(E59,Substation_sizes_UR,Substation_rates_UR)</f>
        <v>260457.16548370387</v>
      </c>
      <c r="H59" s="72"/>
      <c r="I59" s="39">
        <f>IF(H59="",G59,H59)</f>
        <v>260457.16548370387</v>
      </c>
      <c r="J59" s="238" t="s">
        <v>121</v>
      </c>
      <c r="K59" s="45">
        <f>I59*C59</f>
        <v>0</v>
      </c>
      <c r="L59" s="73"/>
    </row>
    <row r="60" spans="2:12" ht="13">
      <c r="B60" s="260"/>
      <c r="C60" s="260"/>
      <c r="D60" s="260"/>
      <c r="F60" s="264"/>
      <c r="G60" s="260"/>
      <c r="H60" s="260"/>
      <c r="I60" s="277"/>
      <c r="J60" s="260"/>
      <c r="K60" s="260"/>
      <c r="L60" s="70"/>
    </row>
    <row r="61" spans="2:12" ht="13">
      <c r="B61" s="249" t="str">
        <f>B$23</f>
        <v>Totals</v>
      </c>
      <c r="C61" s="42">
        <f>SUM(C54:C60)</f>
        <v>0</v>
      </c>
      <c r="D61" s="238" t="s">
        <v>119</v>
      </c>
      <c r="H61" s="265" t="s">
        <v>128</v>
      </c>
      <c r="I61" s="39">
        <f>IF(C61=0,0,K61/C61)</f>
        <v>0</v>
      </c>
      <c r="J61" s="266" t="s">
        <v>129</v>
      </c>
      <c r="K61" s="43">
        <f>SUM(K54:K60)</f>
        <v>0</v>
      </c>
      <c r="L61" s="73"/>
    </row>
    <row r="62" spans="2:12" ht="13">
      <c r="B62" s="260"/>
      <c r="C62" s="260"/>
      <c r="D62" s="260"/>
      <c r="G62" s="260"/>
      <c r="H62" s="260"/>
      <c r="I62" s="260"/>
      <c r="J62" s="260"/>
      <c r="K62" s="260"/>
      <c r="L62" s="70"/>
    </row>
    <row r="63" spans="2:12" ht="13">
      <c r="B63" s="217" t="s">
        <v>130</v>
      </c>
      <c r="C63" s="217"/>
      <c r="D63" s="217"/>
      <c r="E63" s="217"/>
      <c r="F63" s="217"/>
      <c r="G63" s="217"/>
      <c r="H63" s="217"/>
      <c r="I63" s="217"/>
      <c r="J63" s="217"/>
      <c r="K63" s="217"/>
      <c r="L63" s="217"/>
    </row>
    <row r="64" spans="2:12" ht="13">
      <c r="B64" s="261" t="s">
        <v>71</v>
      </c>
      <c r="C64" s="262" t="s">
        <v>72</v>
      </c>
      <c r="D64" s="262" t="s">
        <v>51</v>
      </c>
      <c r="G64" s="263" t="s">
        <v>50</v>
      </c>
      <c r="H64" s="263" t="s">
        <v>73</v>
      </c>
      <c r="I64" s="263" t="s">
        <v>74</v>
      </c>
      <c r="J64" s="263" t="s">
        <v>75</v>
      </c>
      <c r="K64" s="263" t="s">
        <v>76</v>
      </c>
      <c r="L64" s="70"/>
    </row>
    <row r="65" spans="2:12" ht="13">
      <c r="B65" s="37" t="s">
        <v>131</v>
      </c>
      <c r="C65" s="71"/>
      <c r="D65" s="238" t="s">
        <v>134</v>
      </c>
      <c r="E65" s="264"/>
      <c r="F65" s="264"/>
      <c r="G65" s="38">
        <f>'Cost Schedule'!C$424</f>
        <v>3571.3568272918019</v>
      </c>
      <c r="H65" s="72"/>
      <c r="I65" s="39">
        <f>IF(H65="",G65,H65)</f>
        <v>3571.3568272918019</v>
      </c>
      <c r="J65" s="238" t="s">
        <v>132</v>
      </c>
      <c r="K65" s="45">
        <f>I65*C65</f>
        <v>0</v>
      </c>
      <c r="L65" s="70"/>
    </row>
    <row r="66" spans="2:12" ht="13">
      <c r="B66" s="37" t="s">
        <v>133</v>
      </c>
      <c r="C66" s="71"/>
      <c r="D66" s="238" t="s">
        <v>134</v>
      </c>
      <c r="E66" s="264"/>
      <c r="F66" s="264"/>
      <c r="G66" s="38">
        <f>'Cost Schedule'!C$424</f>
        <v>3571.3568272918019</v>
      </c>
      <c r="H66" s="72"/>
      <c r="I66" s="39">
        <f>IF(H66="",G66,H66)</f>
        <v>3571.3568272918019</v>
      </c>
      <c r="J66" s="238" t="s">
        <v>132</v>
      </c>
      <c r="K66" s="45">
        <f>I66*C66</f>
        <v>0</v>
      </c>
      <c r="L66" s="70"/>
    </row>
    <row r="67" spans="2:12">
      <c r="C67" s="248"/>
      <c r="L67" s="70"/>
    </row>
    <row r="68" spans="2:12" ht="13">
      <c r="B68" s="249" t="str">
        <f>B$23</f>
        <v>Totals</v>
      </c>
      <c r="C68" s="278">
        <f>SUM(C64:C67)</f>
        <v>0</v>
      </c>
      <c r="D68" s="238" t="s">
        <v>134</v>
      </c>
      <c r="H68" s="265" t="s">
        <v>135</v>
      </c>
      <c r="I68" s="39">
        <f>IF(C68=0,0,K68/C68)</f>
        <v>0</v>
      </c>
      <c r="J68" s="266" t="s">
        <v>136</v>
      </c>
      <c r="K68" s="43">
        <f>SUM(K64:K67)</f>
        <v>0</v>
      </c>
      <c r="L68" s="70"/>
    </row>
    <row r="69" spans="2:12">
      <c r="L69" s="70"/>
    </row>
    <row r="70" spans="2:12" ht="13">
      <c r="B70" s="217" t="s">
        <v>137</v>
      </c>
      <c r="C70" s="217"/>
      <c r="D70" s="217"/>
      <c r="E70" s="217"/>
      <c r="F70" s="217"/>
      <c r="G70" s="217"/>
      <c r="H70" s="217"/>
      <c r="I70" s="217"/>
      <c r="J70" s="217"/>
      <c r="K70" s="217"/>
      <c r="L70" s="217"/>
    </row>
    <row r="71" spans="2:12" ht="13">
      <c r="B71" s="261" t="s">
        <v>71</v>
      </c>
      <c r="C71" s="262" t="s">
        <v>72</v>
      </c>
      <c r="D71" s="262" t="s">
        <v>51</v>
      </c>
      <c r="E71" s="264" t="s">
        <v>83</v>
      </c>
      <c r="F71" s="264"/>
      <c r="G71" s="263" t="s">
        <v>50</v>
      </c>
      <c r="H71" s="263" t="s">
        <v>73</v>
      </c>
      <c r="I71" s="263" t="s">
        <v>74</v>
      </c>
      <c r="J71" s="263" t="s">
        <v>75</v>
      </c>
      <c r="K71" s="263" t="s">
        <v>76</v>
      </c>
      <c r="L71" s="70"/>
    </row>
    <row r="72" spans="2:12" ht="13">
      <c r="B72" s="37" t="str">
        <f>'Cost Schedule'!B418</f>
        <v>Isolate and electrically and mechanically disconnect panel from rack</v>
      </c>
      <c r="C72" s="279">
        <f>C$14</f>
        <v>0</v>
      </c>
      <c r="D72" s="238" t="s">
        <v>69</v>
      </c>
      <c r="E72" s="280" t="str">
        <f>C13</f>
        <v>Select make and model</v>
      </c>
      <c r="G72" s="47">
        <f>'Cost Schedule'!C418</f>
        <v>1.4057477918160985</v>
      </c>
      <c r="H72" s="72"/>
      <c r="I72" s="48">
        <f t="shared" ref="I72:I76" si="2">IF(H72="",G72,H72)</f>
        <v>1.4057477918160985</v>
      </c>
      <c r="J72" s="238" t="s">
        <v>138</v>
      </c>
      <c r="K72" s="45">
        <f t="shared" ref="K72:K76" si="3">C72*I72</f>
        <v>0</v>
      </c>
      <c r="L72" s="73"/>
    </row>
    <row r="73" spans="2:12" ht="13">
      <c r="B73" s="37" t="s">
        <v>139</v>
      </c>
      <c r="C73" s="281">
        <f>_xlfn.XLOOKUP(E73,Panels_haul_unload_names_UR,Panels_haul_unload_distance_avg)*C72</f>
        <v>0</v>
      </c>
      <c r="D73" s="238" t="s">
        <v>140</v>
      </c>
      <c r="E73" s="76" t="s">
        <v>1304</v>
      </c>
      <c r="G73" s="47">
        <f>_xlfn.XLOOKUP(E73,Panels_haul_unload_names_UR,Panels_haul_unload_rates_UR)</f>
        <v>1.8079141158725935E-2</v>
      </c>
      <c r="H73" s="72"/>
      <c r="I73" s="48">
        <f t="shared" si="2"/>
        <v>1.8079141158725935E-2</v>
      </c>
      <c r="J73" s="238" t="s">
        <v>140</v>
      </c>
      <c r="K73" s="45">
        <f>C73*I73</f>
        <v>0</v>
      </c>
      <c r="L73" s="70"/>
    </row>
    <row r="74" spans="2:12" ht="13">
      <c r="B74" s="37" t="str">
        <f>'Cost Schedule'!B420</f>
        <v xml:space="preserve">Cut-up and load racking </v>
      </c>
      <c r="C74" s="281">
        <f>C$72</f>
        <v>0</v>
      </c>
      <c r="D74" s="238" t="s">
        <v>69</v>
      </c>
      <c r="G74" s="47">
        <f>'Cost Schedule'!C420</f>
        <v>2.1612072292413829</v>
      </c>
      <c r="H74" s="72"/>
      <c r="I74" s="48">
        <f t="shared" si="2"/>
        <v>2.1612072292413829</v>
      </c>
      <c r="J74" s="238" t="s">
        <v>138</v>
      </c>
      <c r="K74" s="45">
        <f>C74*I74</f>
        <v>0</v>
      </c>
      <c r="L74" s="73"/>
    </row>
    <row r="75" spans="2:12" ht="13">
      <c r="B75" s="37" t="str">
        <f>'Cost Schedule'!B421</f>
        <v>Pull out and load piles</v>
      </c>
      <c r="C75" s="281">
        <f>C$72</f>
        <v>0</v>
      </c>
      <c r="D75" s="238" t="s">
        <v>69</v>
      </c>
      <c r="G75" s="47">
        <f>'Cost Schedule'!C421</f>
        <v>2.2862072292413829</v>
      </c>
      <c r="H75" s="72"/>
      <c r="I75" s="48">
        <f t="shared" si="2"/>
        <v>2.2862072292413829</v>
      </c>
      <c r="J75" s="238" t="s">
        <v>138</v>
      </c>
      <c r="K75" s="45">
        <f t="shared" si="3"/>
        <v>0</v>
      </c>
      <c r="L75" s="73"/>
    </row>
    <row r="76" spans="2:12" ht="13">
      <c r="B76" s="37" t="str">
        <f>'Cost Schedule'!B422</f>
        <v>Load concrete footings</v>
      </c>
      <c r="C76" s="281">
        <f>C$72</f>
        <v>0</v>
      </c>
      <c r="D76" s="238" t="s">
        <v>69</v>
      </c>
      <c r="G76" s="47">
        <f>'Cost Schedule'!C422</f>
        <v>1.25</v>
      </c>
      <c r="H76" s="72"/>
      <c r="I76" s="48">
        <f t="shared" si="2"/>
        <v>1.25</v>
      </c>
      <c r="J76" s="238" t="s">
        <v>138</v>
      </c>
      <c r="K76" s="45">
        <f t="shared" si="3"/>
        <v>0</v>
      </c>
      <c r="L76" s="70"/>
    </row>
    <row r="77" spans="2:12">
      <c r="K77" s="282"/>
      <c r="L77" s="73"/>
    </row>
    <row r="78" spans="2:12" ht="13">
      <c r="B78" s="249" t="str">
        <f>B$23</f>
        <v>Totals</v>
      </c>
      <c r="C78" s="283">
        <f>C72</f>
        <v>0</v>
      </c>
      <c r="D78" s="238" t="s">
        <v>69</v>
      </c>
      <c r="H78" s="265" t="s">
        <v>141</v>
      </c>
      <c r="I78" s="48">
        <f>IF(C78=0,0,K78/C78)</f>
        <v>0</v>
      </c>
      <c r="J78" s="266" t="s">
        <v>142</v>
      </c>
      <c r="K78" s="43">
        <f>SUM(K71:K77)</f>
        <v>0</v>
      </c>
      <c r="L78" s="70"/>
    </row>
    <row r="79" spans="2:12">
      <c r="L79" s="73"/>
    </row>
    <row r="80" spans="2:12" ht="13">
      <c r="B80" s="217" t="s">
        <v>143</v>
      </c>
      <c r="C80" s="217"/>
      <c r="D80" s="217"/>
      <c r="E80" s="217"/>
      <c r="F80" s="217"/>
      <c r="G80" s="217"/>
      <c r="H80" s="217"/>
      <c r="I80" s="217"/>
      <c r="J80" s="217"/>
      <c r="K80" s="217"/>
      <c r="L80" s="217"/>
    </row>
    <row r="81" spans="2:12" ht="13">
      <c r="B81" s="261" t="s">
        <v>71</v>
      </c>
      <c r="C81" s="262" t="s">
        <v>72</v>
      </c>
      <c r="D81" s="262" t="s">
        <v>51</v>
      </c>
      <c r="E81" s="264" t="s">
        <v>83</v>
      </c>
      <c r="F81" s="264"/>
      <c r="G81" s="263" t="s">
        <v>50</v>
      </c>
      <c r="H81" s="263" t="s">
        <v>73</v>
      </c>
      <c r="I81" s="263" t="s">
        <v>74</v>
      </c>
      <c r="J81" s="263" t="s">
        <v>75</v>
      </c>
      <c r="K81" s="263" t="s">
        <v>76</v>
      </c>
      <c r="L81" s="70"/>
    </row>
    <row r="82" spans="2:12" ht="13">
      <c r="B82" s="37" t="s">
        <v>144</v>
      </c>
      <c r="C82" s="67"/>
      <c r="D82" s="238" t="s">
        <v>62</v>
      </c>
      <c r="E82" s="74" t="s">
        <v>145</v>
      </c>
      <c r="F82" s="77" t="s">
        <v>146</v>
      </c>
      <c r="G82" s="38" cm="1">
        <f t="array" ref="G82">_xlfn.XLOOKUP(1,('Cost Schedule'!$B$391:$B$408=Solar!E82)*('Cost Schedule'!$A$391:$A$408=Solar!F82),'Cost Schedule'!$C$391:$C$408)</f>
        <v>972.51262045565204</v>
      </c>
      <c r="H82" s="72"/>
      <c r="I82" s="39">
        <f t="shared" ref="I82:I99" si="4">IF(H82="",G82,H82)</f>
        <v>972.51262045565204</v>
      </c>
      <c r="J82" s="238" t="s">
        <v>62</v>
      </c>
      <c r="K82" s="45">
        <f t="shared" ref="K82:K99" si="5">I82*C82</f>
        <v>0</v>
      </c>
      <c r="L82" s="73"/>
    </row>
    <row r="83" spans="2:12" ht="13">
      <c r="B83" s="37" t="s">
        <v>147</v>
      </c>
      <c r="C83" s="67"/>
      <c r="D83" s="238" t="s">
        <v>62</v>
      </c>
      <c r="E83" s="74" t="s">
        <v>145</v>
      </c>
      <c r="F83" s="77" t="s">
        <v>148</v>
      </c>
      <c r="G83" s="38" cm="1">
        <f t="array" ref="G83">_xlfn.XLOOKUP(1,('Cost Schedule'!$B$391:$B$408=Solar!E83)*('Cost Schedule'!$A$391:$A$408=Solar!F83),'Cost Schedule'!$C$391:$C$408)</f>
        <v>1329.512620455652</v>
      </c>
      <c r="H83" s="72"/>
      <c r="I83" s="39">
        <f t="shared" si="4"/>
        <v>1329.512620455652</v>
      </c>
      <c r="J83" s="238" t="s">
        <v>62</v>
      </c>
      <c r="K83" s="45">
        <f t="shared" si="5"/>
        <v>0</v>
      </c>
      <c r="L83" s="73"/>
    </row>
    <row r="84" spans="2:12" ht="13">
      <c r="B84" s="37" t="s">
        <v>149</v>
      </c>
      <c r="C84" s="67"/>
      <c r="D84" s="238" t="s">
        <v>62</v>
      </c>
      <c r="E84" s="74" t="s">
        <v>150</v>
      </c>
      <c r="F84" s="77" t="s">
        <v>148</v>
      </c>
      <c r="G84" s="38" cm="1">
        <f t="array" ref="G84">_xlfn.XLOOKUP(1,('Cost Schedule'!$B$391:$B$408=Solar!E84)*('Cost Schedule'!$A$391:$A$408=Solar!F84),'Cost Schedule'!$C$391:$C$408)</f>
        <v>4484.795132993283</v>
      </c>
      <c r="H84" s="72"/>
      <c r="I84" s="39">
        <f t="shared" si="4"/>
        <v>4484.795132993283</v>
      </c>
      <c r="J84" s="238" t="s">
        <v>62</v>
      </c>
      <c r="K84" s="45">
        <f t="shared" si="5"/>
        <v>0</v>
      </c>
      <c r="L84" s="73"/>
    </row>
    <row r="85" spans="2:12" ht="13">
      <c r="B85" s="37" t="s">
        <v>151</v>
      </c>
      <c r="C85" s="67"/>
      <c r="D85" s="238" t="s">
        <v>62</v>
      </c>
      <c r="E85" s="74" t="s">
        <v>152</v>
      </c>
      <c r="F85" s="77" t="s">
        <v>148</v>
      </c>
      <c r="G85" s="38" cm="1">
        <f t="array" ref="G85">_xlfn.XLOOKUP(1,('Cost Schedule'!$B$391:$B$408=Solar!E85)*('Cost Schedule'!$A$391:$A$408=Solar!F85),'Cost Schedule'!$C$391:$C$408)</f>
        <v>2659.0252409113041</v>
      </c>
      <c r="H85" s="72"/>
      <c r="I85" s="39">
        <f t="shared" si="4"/>
        <v>2659.0252409113041</v>
      </c>
      <c r="J85" s="238" t="s">
        <v>62</v>
      </c>
      <c r="K85" s="45">
        <f t="shared" si="5"/>
        <v>0</v>
      </c>
      <c r="L85" s="73"/>
    </row>
    <row r="86" spans="2:12" ht="13">
      <c r="B86" s="37" t="s">
        <v>153</v>
      </c>
      <c r="C86" s="67"/>
      <c r="D86" s="238" t="s">
        <v>62</v>
      </c>
      <c r="E86" s="74" t="s">
        <v>152</v>
      </c>
      <c r="F86" s="77" t="s">
        <v>146</v>
      </c>
      <c r="G86" s="38" cm="1">
        <f t="array" ref="G86">_xlfn.XLOOKUP(1,('Cost Schedule'!$B$391:$B$408=Solar!E86)*('Cost Schedule'!$A$391:$A$408=Solar!F86),'Cost Schedule'!$C$391:$C$408)</f>
        <v>1945.0252409113041</v>
      </c>
      <c r="H86" s="72"/>
      <c r="I86" s="39">
        <f t="shared" si="4"/>
        <v>1945.0252409113041</v>
      </c>
      <c r="J86" s="238" t="s">
        <v>62</v>
      </c>
      <c r="K86" s="45">
        <f t="shared" si="5"/>
        <v>0</v>
      </c>
      <c r="L86" s="73"/>
    </row>
    <row r="87" spans="2:12" ht="13">
      <c r="B87" s="37" t="s">
        <v>154</v>
      </c>
      <c r="C87" s="67"/>
      <c r="D87" s="238" t="s">
        <v>62</v>
      </c>
      <c r="E87" s="74" t="s">
        <v>152</v>
      </c>
      <c r="F87" s="77" t="s">
        <v>148</v>
      </c>
      <c r="G87" s="38" cm="1">
        <f t="array" ref="G87">_xlfn.XLOOKUP(1,('Cost Schedule'!$B$391:$B$408=Solar!E87)*('Cost Schedule'!$A$391:$A$408=Solar!F87),'Cost Schedule'!$C$391:$C$408)</f>
        <v>2659.0252409113041</v>
      </c>
      <c r="H87" s="72"/>
      <c r="I87" s="39">
        <f t="shared" si="4"/>
        <v>2659.0252409113041</v>
      </c>
      <c r="J87" s="238" t="s">
        <v>62</v>
      </c>
      <c r="K87" s="45">
        <f t="shared" si="5"/>
        <v>0</v>
      </c>
      <c r="L87" s="73"/>
    </row>
    <row r="88" spans="2:12" ht="13">
      <c r="B88" s="37" t="s">
        <v>155</v>
      </c>
      <c r="C88" s="67"/>
      <c r="D88" s="238" t="s">
        <v>62</v>
      </c>
      <c r="E88" s="74" t="s">
        <v>156</v>
      </c>
      <c r="F88" s="77" t="s">
        <v>157</v>
      </c>
      <c r="G88" s="38" cm="1">
        <f t="array" ref="G88">_xlfn.XLOOKUP(1,('Cost Schedule'!$B$391:$B$408=Solar!E88)*('Cost Schedule'!$A$391:$A$408=Solar!F88),'Cost Schedule'!$C$391:$C$408)</f>
        <v>1976.9455913838397</v>
      </c>
      <c r="H88" s="72"/>
      <c r="I88" s="39">
        <f t="shared" si="4"/>
        <v>1976.9455913838397</v>
      </c>
      <c r="J88" s="238" t="s">
        <v>62</v>
      </c>
      <c r="K88" s="45">
        <f t="shared" si="5"/>
        <v>0</v>
      </c>
      <c r="L88" s="73"/>
    </row>
    <row r="89" spans="2:12" ht="13">
      <c r="B89" s="37" t="s">
        <v>158</v>
      </c>
      <c r="C89" s="67"/>
      <c r="D89" s="238" t="s">
        <v>62</v>
      </c>
      <c r="E89" s="74" t="s">
        <v>156</v>
      </c>
      <c r="F89" s="77" t="s">
        <v>146</v>
      </c>
      <c r="G89" s="38" cm="1">
        <f t="array" ref="G89">_xlfn.XLOOKUP(1,('Cost Schedule'!$B$391:$B$408=Solar!E89)*('Cost Schedule'!$A$391:$A$408=Solar!F89),'Cost Schedule'!$C$391:$C$408)</f>
        <v>2865.6821279782307</v>
      </c>
      <c r="H89" s="72"/>
      <c r="I89" s="39">
        <f t="shared" si="4"/>
        <v>2865.6821279782307</v>
      </c>
      <c r="J89" s="238" t="s">
        <v>62</v>
      </c>
      <c r="K89" s="45">
        <f t="shared" si="5"/>
        <v>0</v>
      </c>
      <c r="L89" s="73"/>
    </row>
    <row r="90" spans="2:12" ht="13">
      <c r="B90" s="37" t="s">
        <v>159</v>
      </c>
      <c r="C90" s="67"/>
      <c r="D90" s="238" t="s">
        <v>62</v>
      </c>
      <c r="E90" s="74" t="s">
        <v>156</v>
      </c>
      <c r="F90" s="77" t="s">
        <v>148</v>
      </c>
      <c r="G90" s="38" cm="1">
        <f t="array" ref="G90">_xlfn.XLOOKUP(1,('Cost Schedule'!$B$391:$B$408=Solar!E90)*('Cost Schedule'!$A$391:$A$408=Solar!F90),'Cost Schedule'!$C$391:$C$408)</f>
        <v>3222.6821279782307</v>
      </c>
      <c r="H90" s="72"/>
      <c r="I90" s="39">
        <f t="shared" si="4"/>
        <v>3222.6821279782307</v>
      </c>
      <c r="J90" s="238" t="s">
        <v>62</v>
      </c>
      <c r="K90" s="45">
        <f t="shared" si="5"/>
        <v>0</v>
      </c>
      <c r="L90" s="73"/>
    </row>
    <row r="91" spans="2:12" ht="13">
      <c r="B91" s="37" t="s">
        <v>160</v>
      </c>
      <c r="C91" s="67"/>
      <c r="D91" s="238" t="s">
        <v>62</v>
      </c>
      <c r="E91" s="74" t="s">
        <v>161</v>
      </c>
      <c r="F91" s="77" t="s">
        <v>157</v>
      </c>
      <c r="G91" s="38" cm="1">
        <f t="array" ref="G91">_xlfn.XLOOKUP(1,('Cost Schedule'!$B$391:$B$408=Solar!E91)*('Cost Schedule'!$A$391:$A$408=Solar!F91),'Cost Schedule'!$C$391:$C$408)</f>
        <v>3953.8911827676793</v>
      </c>
      <c r="H91" s="72"/>
      <c r="I91" s="39">
        <f t="shared" si="4"/>
        <v>3953.8911827676793</v>
      </c>
      <c r="J91" s="238" t="s">
        <v>62</v>
      </c>
      <c r="K91" s="45">
        <f t="shared" si="5"/>
        <v>0</v>
      </c>
      <c r="L91" s="73"/>
    </row>
    <row r="92" spans="2:12" ht="13">
      <c r="B92" s="37" t="s">
        <v>162</v>
      </c>
      <c r="C92" s="67"/>
      <c r="D92" s="238" t="s">
        <v>62</v>
      </c>
      <c r="E92" s="74" t="s">
        <v>161</v>
      </c>
      <c r="F92" s="77" t="s">
        <v>146</v>
      </c>
      <c r="G92" s="38" cm="1">
        <f t="array" ref="G92">_xlfn.XLOOKUP(1,('Cost Schedule'!$B$391:$B$408=Solar!E92)*('Cost Schedule'!$A$391:$A$408=Solar!F92),'Cost Schedule'!$C$391:$C$408)</f>
        <v>5731.3642559564614</v>
      </c>
      <c r="H92" s="72"/>
      <c r="I92" s="39">
        <f t="shared" si="4"/>
        <v>5731.3642559564614</v>
      </c>
      <c r="J92" s="238" t="s">
        <v>62</v>
      </c>
      <c r="K92" s="45">
        <f t="shared" si="5"/>
        <v>0</v>
      </c>
      <c r="L92" s="73"/>
    </row>
    <row r="93" spans="2:12" ht="13">
      <c r="B93" s="37" t="s">
        <v>163</v>
      </c>
      <c r="C93" s="67"/>
      <c r="D93" s="238" t="s">
        <v>62</v>
      </c>
      <c r="E93" s="74" t="s">
        <v>161</v>
      </c>
      <c r="F93" s="77" t="s">
        <v>148</v>
      </c>
      <c r="G93" s="38" cm="1">
        <f t="array" ref="G93">_xlfn.XLOOKUP(1,('Cost Schedule'!$B$391:$B$408=Solar!E93)*('Cost Schedule'!$A$391:$A$408=Solar!F93),'Cost Schedule'!$C$391:$C$408)</f>
        <v>6445.3642559564614</v>
      </c>
      <c r="H93" s="72"/>
      <c r="I93" s="39">
        <f t="shared" si="4"/>
        <v>6445.3642559564614</v>
      </c>
      <c r="J93" s="238" t="s">
        <v>62</v>
      </c>
      <c r="K93" s="45">
        <f t="shared" si="5"/>
        <v>0</v>
      </c>
      <c r="L93" s="73"/>
    </row>
    <row r="94" spans="2:12" ht="13">
      <c r="B94" s="37" t="s">
        <v>164</v>
      </c>
      <c r="C94" s="67"/>
      <c r="D94" s="238" t="s">
        <v>62</v>
      </c>
      <c r="E94" s="74" t="s">
        <v>150</v>
      </c>
      <c r="F94" s="77" t="s">
        <v>157</v>
      </c>
      <c r="G94" s="38" cm="1">
        <f t="array" ref="G94">_xlfn.XLOOKUP(1,('Cost Schedule'!$B$391:$B$408=Solar!E94)*('Cost Schedule'!$A$391:$A$408=Solar!F94),'Cost Schedule'!$C$391:$C$408)</f>
        <v>3239.0585963988915</v>
      </c>
      <c r="H94" s="72"/>
      <c r="I94" s="39">
        <f t="shared" si="4"/>
        <v>3239.0585963988915</v>
      </c>
      <c r="J94" s="238" t="s">
        <v>62</v>
      </c>
      <c r="K94" s="45">
        <f t="shared" si="5"/>
        <v>0</v>
      </c>
      <c r="L94" s="73"/>
    </row>
    <row r="95" spans="2:12" ht="13">
      <c r="B95" s="37" t="s">
        <v>165</v>
      </c>
      <c r="C95" s="67"/>
      <c r="D95" s="238" t="s">
        <v>62</v>
      </c>
      <c r="E95" s="74" t="s">
        <v>150</v>
      </c>
      <c r="F95" s="77" t="s">
        <v>146</v>
      </c>
      <c r="G95" s="38" cm="1">
        <f t="array" ref="G95">_xlfn.XLOOKUP(1,('Cost Schedule'!$B$391:$B$408=Solar!E95)*('Cost Schedule'!$A$391:$A$408=Solar!F95),'Cost Schedule'!$C$391:$C$408)</f>
        <v>4127.795132993283</v>
      </c>
      <c r="H95" s="72"/>
      <c r="I95" s="39">
        <f t="shared" si="4"/>
        <v>4127.795132993283</v>
      </c>
      <c r="J95" s="238" t="s">
        <v>62</v>
      </c>
      <c r="K95" s="45">
        <f t="shared" si="5"/>
        <v>0</v>
      </c>
      <c r="L95" s="73"/>
    </row>
    <row r="96" spans="2:12" ht="13">
      <c r="B96" s="37" t="s">
        <v>166</v>
      </c>
      <c r="C96" s="67"/>
      <c r="D96" s="238" t="s">
        <v>62</v>
      </c>
      <c r="E96" s="74" t="s">
        <v>150</v>
      </c>
      <c r="F96" s="77" t="s">
        <v>148</v>
      </c>
      <c r="G96" s="38" cm="1">
        <f t="array" ref="G96">_xlfn.XLOOKUP(1,('Cost Schedule'!$B$391:$B$408=Solar!E96)*('Cost Schedule'!$A$391:$A$408=Solar!F96),'Cost Schedule'!$C$391:$C$408)</f>
        <v>4484.795132993283</v>
      </c>
      <c r="H96" s="72"/>
      <c r="I96" s="39">
        <f t="shared" si="4"/>
        <v>4484.795132993283</v>
      </c>
      <c r="J96" s="238" t="s">
        <v>62</v>
      </c>
      <c r="K96" s="45">
        <f t="shared" si="5"/>
        <v>0</v>
      </c>
      <c r="L96" s="73"/>
    </row>
    <row r="97" spans="2:12" ht="13">
      <c r="B97" s="37" t="s">
        <v>167</v>
      </c>
      <c r="C97" s="67"/>
      <c r="D97" s="238" t="s">
        <v>62</v>
      </c>
      <c r="E97" s="74" t="s">
        <v>168</v>
      </c>
      <c r="F97" s="77" t="s">
        <v>157</v>
      </c>
      <c r="G97" s="38" cm="1">
        <f t="array" ref="G97">_xlfn.XLOOKUP(1,('Cost Schedule'!$B$391:$B$408=Solar!E97)*('Cost Schedule'!$A$391:$A$408=Solar!F97),'Cost Schedule'!$C$391:$C$408)</f>
        <v>6478.117192797783</v>
      </c>
      <c r="H97" s="72"/>
      <c r="I97" s="39">
        <f t="shared" si="4"/>
        <v>6478.117192797783</v>
      </c>
      <c r="J97" s="238" t="s">
        <v>62</v>
      </c>
      <c r="K97" s="45">
        <f t="shared" si="5"/>
        <v>0</v>
      </c>
      <c r="L97" s="73"/>
    </row>
    <row r="98" spans="2:12" ht="13">
      <c r="B98" s="37" t="s">
        <v>169</v>
      </c>
      <c r="C98" s="67"/>
      <c r="D98" s="238" t="s">
        <v>62</v>
      </c>
      <c r="E98" s="74" t="s">
        <v>168</v>
      </c>
      <c r="F98" s="77" t="s">
        <v>146</v>
      </c>
      <c r="G98" s="38" cm="1">
        <f t="array" ref="G98">_xlfn.XLOOKUP(1,('Cost Schedule'!$B$391:$B$408=Solar!E98)*('Cost Schedule'!$A$391:$A$408=Solar!F98),'Cost Schedule'!$C$391:$C$408)</f>
        <v>8255.590265986566</v>
      </c>
      <c r="H98" s="72"/>
      <c r="I98" s="39">
        <f t="shared" si="4"/>
        <v>8255.590265986566</v>
      </c>
      <c r="J98" s="238" t="s">
        <v>62</v>
      </c>
      <c r="K98" s="45">
        <f t="shared" si="5"/>
        <v>0</v>
      </c>
      <c r="L98" s="73"/>
    </row>
    <row r="99" spans="2:12" ht="13">
      <c r="B99" s="37" t="s">
        <v>170</v>
      </c>
      <c r="C99" s="67"/>
      <c r="D99" s="238" t="s">
        <v>62</v>
      </c>
      <c r="E99" s="74" t="s">
        <v>168</v>
      </c>
      <c r="F99" s="77" t="s">
        <v>148</v>
      </c>
      <c r="G99" s="38" cm="1">
        <f t="array" ref="G99">_xlfn.XLOOKUP(1,('Cost Schedule'!$B$391:$B$408=Solar!E99)*('Cost Schedule'!$A$391:$A$408=Solar!F99),'Cost Schedule'!$C$391:$C$408)</f>
        <v>8969.590265986566</v>
      </c>
      <c r="H99" s="72"/>
      <c r="I99" s="39">
        <f t="shared" si="4"/>
        <v>8969.590265986566</v>
      </c>
      <c r="J99" s="238" t="s">
        <v>62</v>
      </c>
      <c r="K99" s="45">
        <f t="shared" si="5"/>
        <v>0</v>
      </c>
      <c r="L99" s="73"/>
    </row>
    <row r="100" spans="2:12">
      <c r="C100" s="284"/>
      <c r="I100" s="282"/>
      <c r="L100" s="70"/>
    </row>
    <row r="101" spans="2:12" ht="13">
      <c r="B101" s="249" t="str">
        <f>B$23</f>
        <v>Totals</v>
      </c>
      <c r="C101" s="285">
        <f>SUM(C81:C100)</f>
        <v>0</v>
      </c>
      <c r="D101" s="238" t="s">
        <v>62</v>
      </c>
      <c r="H101" s="265" t="s">
        <v>171</v>
      </c>
      <c r="I101" s="39">
        <f>IF(C101=0,0,K101/C101)</f>
        <v>0</v>
      </c>
      <c r="J101" s="266" t="s">
        <v>172</v>
      </c>
      <c r="K101" s="43">
        <f>SUM(K81:K100)</f>
        <v>0</v>
      </c>
      <c r="L101" s="73"/>
    </row>
    <row r="102" spans="2:12">
      <c r="L102" s="70"/>
    </row>
    <row r="103" spans="2:12" ht="13">
      <c r="B103" s="217" t="s">
        <v>173</v>
      </c>
      <c r="C103" s="217"/>
      <c r="D103" s="217"/>
      <c r="E103" s="217"/>
      <c r="F103" s="217"/>
      <c r="G103" s="217"/>
      <c r="H103" s="217"/>
      <c r="I103" s="217"/>
      <c r="J103" s="217"/>
      <c r="K103" s="217"/>
      <c r="L103" s="217"/>
    </row>
    <row r="104" spans="2:12" ht="13">
      <c r="B104" s="261" t="s">
        <v>71</v>
      </c>
      <c r="C104" s="262" t="s">
        <v>72</v>
      </c>
      <c r="D104" s="262" t="s">
        <v>51</v>
      </c>
      <c r="E104" s="264" t="s">
        <v>83</v>
      </c>
      <c r="F104" s="264"/>
      <c r="G104" s="263" t="s">
        <v>50</v>
      </c>
      <c r="H104" s="263" t="s">
        <v>73</v>
      </c>
      <c r="I104" s="263" t="s">
        <v>74</v>
      </c>
      <c r="J104" s="263" t="s">
        <v>75</v>
      </c>
      <c r="K104" s="263" t="s">
        <v>76</v>
      </c>
      <c r="L104" s="70"/>
    </row>
    <row r="105" spans="2:12" ht="13">
      <c r="B105" s="37" t="s">
        <v>174</v>
      </c>
      <c r="C105" s="67"/>
      <c r="D105" s="238" t="s">
        <v>62</v>
      </c>
      <c r="E105" s="74" t="s">
        <v>175</v>
      </c>
      <c r="F105" s="77" t="s">
        <v>148</v>
      </c>
      <c r="G105" s="38" cm="1">
        <f t="array" ref="G105">_xlfn.XLOOKUP(1,('Cost Schedule'!$B$212:$B$220=Solar!E105)*('Cost Schedule'!$A$212:$A$220=Solar!F105),'Cost Schedule'!$C$212:$C$220)</f>
        <v>4785.51258101035</v>
      </c>
      <c r="H105" s="72"/>
      <c r="I105" s="39">
        <f t="shared" ref="I105:I113" si="6">IF(H105="",G105,H105)</f>
        <v>4785.51258101035</v>
      </c>
      <c r="J105" s="238" t="s">
        <v>62</v>
      </c>
      <c r="K105" s="45">
        <f t="shared" ref="K105:K113" si="7">I105*C105</f>
        <v>0</v>
      </c>
      <c r="L105" s="73"/>
    </row>
    <row r="106" spans="2:12" ht="13">
      <c r="B106" s="37" t="s">
        <v>176</v>
      </c>
      <c r="C106" s="67"/>
      <c r="D106" s="238" t="s">
        <v>62</v>
      </c>
      <c r="E106" s="74" t="s">
        <v>177</v>
      </c>
      <c r="F106" s="77" t="s">
        <v>148</v>
      </c>
      <c r="G106" s="38" cm="1">
        <f t="array" ref="G106">_xlfn.XLOOKUP(1,('Cost Schedule'!$B$212:$B$220=Solar!E106)*('Cost Schedule'!$A$212:$A$220=Solar!F106),'Cost Schedule'!$C$212:$C$220)</f>
        <v>17406.642631160877</v>
      </c>
      <c r="H106" s="72"/>
      <c r="I106" s="39">
        <f t="shared" si="6"/>
        <v>17406.642631160877</v>
      </c>
      <c r="J106" s="238" t="s">
        <v>62</v>
      </c>
      <c r="K106" s="45">
        <f>I106*C106</f>
        <v>0</v>
      </c>
      <c r="L106" s="73"/>
    </row>
    <row r="107" spans="2:12" ht="13">
      <c r="B107" s="37" t="s">
        <v>178</v>
      </c>
      <c r="C107" s="67"/>
      <c r="D107" s="238" t="s">
        <v>62</v>
      </c>
      <c r="E107" s="74" t="s">
        <v>179</v>
      </c>
      <c r="F107" s="77" t="s">
        <v>148</v>
      </c>
      <c r="G107" s="38" cm="1">
        <f t="array" ref="G107">_xlfn.XLOOKUP(1,('Cost Schedule'!$B$212:$B$220=Solar!E107)*('Cost Schedule'!$A$212:$A$220=Solar!F107),'Cost Schedule'!$C$212:$C$220)</f>
        <v>51738.299644863699</v>
      </c>
      <c r="H107" s="72"/>
      <c r="I107" s="39">
        <f t="shared" si="6"/>
        <v>51738.299644863699</v>
      </c>
      <c r="J107" s="238" t="s">
        <v>62</v>
      </c>
      <c r="K107" s="45">
        <f t="shared" si="7"/>
        <v>0</v>
      </c>
      <c r="L107" s="73"/>
    </row>
    <row r="108" spans="2:12" ht="13">
      <c r="B108" s="37" t="s">
        <v>180</v>
      </c>
      <c r="C108" s="67"/>
      <c r="D108" s="238" t="s">
        <v>62</v>
      </c>
      <c r="E108" s="74" t="s">
        <v>175</v>
      </c>
      <c r="F108" s="77" t="s">
        <v>148</v>
      </c>
      <c r="G108" s="38" cm="1">
        <f t="array" ref="G108">_xlfn.XLOOKUP(1,('Cost Schedule'!$B$212:$B$220=Solar!E108)*('Cost Schedule'!$A$212:$A$220=Solar!F108),'Cost Schedule'!$C$212:$C$220)</f>
        <v>4785.51258101035</v>
      </c>
      <c r="H108" s="72"/>
      <c r="I108" s="39">
        <f t="shared" si="6"/>
        <v>4785.51258101035</v>
      </c>
      <c r="J108" s="238" t="s">
        <v>62</v>
      </c>
      <c r="K108" s="45">
        <f t="shared" si="7"/>
        <v>0</v>
      </c>
      <c r="L108" s="73"/>
    </row>
    <row r="109" spans="2:12" ht="13">
      <c r="B109" s="37" t="s">
        <v>181</v>
      </c>
      <c r="C109" s="67"/>
      <c r="D109" s="238" t="s">
        <v>62</v>
      </c>
      <c r="E109" s="74" t="s">
        <v>175</v>
      </c>
      <c r="F109" s="77" t="s">
        <v>148</v>
      </c>
      <c r="G109" s="38" cm="1">
        <f t="array" ref="G109">_xlfn.XLOOKUP(1,('Cost Schedule'!$B$212:$B$220=Solar!E109)*('Cost Schedule'!$A$212:$A$220=Solar!F109),'Cost Schedule'!$C$212:$C$220)</f>
        <v>4785.51258101035</v>
      </c>
      <c r="H109" s="72"/>
      <c r="I109" s="39">
        <f t="shared" si="6"/>
        <v>4785.51258101035</v>
      </c>
      <c r="J109" s="238" t="s">
        <v>62</v>
      </c>
      <c r="K109" s="45">
        <f t="shared" si="7"/>
        <v>0</v>
      </c>
      <c r="L109" s="73"/>
    </row>
    <row r="110" spans="2:12" ht="13">
      <c r="B110" s="37" t="s">
        <v>182</v>
      </c>
      <c r="C110" s="67"/>
      <c r="D110" s="238" t="s">
        <v>62</v>
      </c>
      <c r="E110" s="74" t="s">
        <v>175</v>
      </c>
      <c r="F110" s="77" t="s">
        <v>148</v>
      </c>
      <c r="G110" s="38" cm="1">
        <f t="array" ref="G110">_xlfn.XLOOKUP(1,('Cost Schedule'!$B$212:$B$220=Solar!E110)*('Cost Schedule'!$A$212:$A$220=Solar!F110),'Cost Schedule'!$C$212:$C$220)</f>
        <v>4785.51258101035</v>
      </c>
      <c r="H110" s="72"/>
      <c r="I110" s="39">
        <f t="shared" si="6"/>
        <v>4785.51258101035</v>
      </c>
      <c r="J110" s="238" t="s">
        <v>62</v>
      </c>
      <c r="K110" s="45">
        <f t="shared" si="7"/>
        <v>0</v>
      </c>
      <c r="L110" s="73"/>
    </row>
    <row r="111" spans="2:12" ht="13">
      <c r="B111" s="37" t="s">
        <v>183</v>
      </c>
      <c r="C111" s="67"/>
      <c r="D111" s="238" t="s">
        <v>62</v>
      </c>
      <c r="E111" s="74" t="s">
        <v>175</v>
      </c>
      <c r="F111" s="77" t="s">
        <v>148</v>
      </c>
      <c r="G111" s="38" cm="1">
        <f t="array" ref="G111">_xlfn.XLOOKUP(1,('Cost Schedule'!$B$212:$B$220=Solar!E111)*('Cost Schedule'!$A$212:$A$220=Solar!F111),'Cost Schedule'!$C$212:$C$220)</f>
        <v>4785.51258101035</v>
      </c>
      <c r="H111" s="72"/>
      <c r="I111" s="39">
        <f t="shared" si="6"/>
        <v>4785.51258101035</v>
      </c>
      <c r="J111" s="238" t="s">
        <v>62</v>
      </c>
      <c r="K111" s="45">
        <f t="shared" si="7"/>
        <v>0</v>
      </c>
      <c r="L111" s="73"/>
    </row>
    <row r="112" spans="2:12" ht="13">
      <c r="B112" s="37" t="s">
        <v>184</v>
      </c>
      <c r="C112" s="67"/>
      <c r="D112" s="238" t="s">
        <v>62</v>
      </c>
      <c r="E112" s="74" t="s">
        <v>175</v>
      </c>
      <c r="F112" s="77" t="s">
        <v>148</v>
      </c>
      <c r="G112" s="38" cm="1">
        <f t="array" ref="G112">_xlfn.XLOOKUP(1,('Cost Schedule'!$B$212:$B$220=Solar!E112)*('Cost Schedule'!$A$212:$A$220=Solar!F112),'Cost Schedule'!$C$212:$C$220)</f>
        <v>4785.51258101035</v>
      </c>
      <c r="H112" s="72"/>
      <c r="I112" s="39">
        <f t="shared" si="6"/>
        <v>4785.51258101035</v>
      </c>
      <c r="J112" s="238" t="s">
        <v>62</v>
      </c>
      <c r="K112" s="45">
        <f t="shared" si="7"/>
        <v>0</v>
      </c>
      <c r="L112" s="73"/>
    </row>
    <row r="113" spans="2:12" ht="13">
      <c r="B113" s="37" t="s">
        <v>185</v>
      </c>
      <c r="C113" s="67"/>
      <c r="D113" s="238" t="s">
        <v>62</v>
      </c>
      <c r="E113" s="74" t="s">
        <v>175</v>
      </c>
      <c r="F113" s="77" t="s">
        <v>148</v>
      </c>
      <c r="G113" s="38" cm="1">
        <f t="array" ref="G113">_xlfn.XLOOKUP(1,('Cost Schedule'!$B$212:$B$220=Solar!E113)*('Cost Schedule'!$A$212:$A$220=Solar!F113),'Cost Schedule'!$C$212:$C$220)</f>
        <v>4785.51258101035</v>
      </c>
      <c r="H113" s="72"/>
      <c r="I113" s="39">
        <f t="shared" si="6"/>
        <v>4785.51258101035</v>
      </c>
      <c r="J113" s="238" t="s">
        <v>62</v>
      </c>
      <c r="K113" s="45">
        <f t="shared" si="7"/>
        <v>0</v>
      </c>
      <c r="L113" s="73"/>
    </row>
    <row r="114" spans="2:12">
      <c r="C114" s="286"/>
      <c r="L114" s="73"/>
    </row>
    <row r="115" spans="2:12" ht="13">
      <c r="B115" s="249" t="str">
        <f>B$23</f>
        <v>Totals</v>
      </c>
      <c r="C115" s="285">
        <f>SUM(C104:C114)</f>
        <v>0</v>
      </c>
      <c r="D115" s="238" t="s">
        <v>62</v>
      </c>
      <c r="H115" s="265" t="s">
        <v>186</v>
      </c>
      <c r="I115" s="39">
        <f>IF(C115=0,0,K115/C115)</f>
        <v>0</v>
      </c>
      <c r="J115" s="266" t="s">
        <v>172</v>
      </c>
      <c r="K115" s="43">
        <f>SUM(K104:K114)</f>
        <v>0</v>
      </c>
      <c r="L115" s="73"/>
    </row>
    <row r="116" spans="2:12">
      <c r="L116" s="70"/>
    </row>
    <row r="117" spans="2:12" ht="13">
      <c r="B117" s="217" t="s">
        <v>187</v>
      </c>
      <c r="C117" s="217"/>
      <c r="D117" s="217"/>
      <c r="E117" s="217"/>
      <c r="F117" s="217"/>
      <c r="G117" s="217"/>
      <c r="H117" s="217"/>
      <c r="I117" s="217"/>
      <c r="J117" s="217"/>
      <c r="K117" s="217"/>
      <c r="L117" s="217"/>
    </row>
    <row r="118" spans="2:12" ht="13">
      <c r="B118" s="261" t="s">
        <v>71</v>
      </c>
      <c r="C118" s="262" t="s">
        <v>72</v>
      </c>
      <c r="D118" s="262" t="s">
        <v>51</v>
      </c>
      <c r="E118" s="264" t="s">
        <v>83</v>
      </c>
      <c r="F118" s="264"/>
      <c r="G118" s="263" t="s">
        <v>50</v>
      </c>
      <c r="H118" s="263" t="s">
        <v>73</v>
      </c>
      <c r="I118" s="263" t="s">
        <v>74</v>
      </c>
      <c r="J118" s="263" t="s">
        <v>75</v>
      </c>
      <c r="K118" s="263" t="s">
        <v>76</v>
      </c>
      <c r="L118" s="70"/>
    </row>
    <row r="119" spans="2:12" ht="13">
      <c r="B119" s="37" t="s">
        <v>188</v>
      </c>
      <c r="C119" s="67"/>
      <c r="D119" s="238" t="s">
        <v>62</v>
      </c>
      <c r="E119" s="74" t="s">
        <v>189</v>
      </c>
      <c r="F119" s="77" t="s">
        <v>157</v>
      </c>
      <c r="G119" s="38" cm="1">
        <f t="array" ref="G119">_xlfn.XLOOKUP(1,('Cost Schedule'!$B$6:$B$14=Solar!E119)*('Cost Schedule'!$A$6:$A$14=Solar!F119),'Cost Schedule'!$C$6:$C$14)</f>
        <v>39762.562527538706</v>
      </c>
      <c r="H119" s="72"/>
      <c r="I119" s="39">
        <f>IF(H119="",G119,H119)</f>
        <v>39762.562527538706</v>
      </c>
      <c r="J119" s="238" t="s">
        <v>62</v>
      </c>
      <c r="K119" s="45">
        <f>I119*C119</f>
        <v>0</v>
      </c>
      <c r="L119" s="73"/>
    </row>
    <row r="120" spans="2:12" ht="13">
      <c r="B120" s="37" t="s">
        <v>190</v>
      </c>
      <c r="C120" s="67"/>
      <c r="D120" s="238" t="s">
        <v>62</v>
      </c>
      <c r="E120" s="74" t="s">
        <v>191</v>
      </c>
      <c r="F120" s="77" t="s">
        <v>148</v>
      </c>
      <c r="G120" s="38" cm="1">
        <f t="array" ref="G120">_xlfn.XLOOKUP(1,('Cost Schedule'!$B$6:$B$14=Solar!E120)*('Cost Schedule'!$A$6:$A$14=Solar!F120),'Cost Schedule'!$C$6:$C$14)</f>
        <v>14356.537743031051</v>
      </c>
      <c r="H120" s="72"/>
      <c r="I120" s="39">
        <f>IF(H120="",G120,H120)</f>
        <v>14356.537743031051</v>
      </c>
      <c r="J120" s="238" t="s">
        <v>62</v>
      </c>
      <c r="K120" s="45">
        <f>I120*C120</f>
        <v>0</v>
      </c>
      <c r="L120" s="73"/>
    </row>
    <row r="121" spans="2:12">
      <c r="C121" s="284"/>
      <c r="I121" s="282"/>
      <c r="L121" s="70"/>
    </row>
    <row r="122" spans="2:12" ht="13">
      <c r="B122" s="249" t="str">
        <f>B$23</f>
        <v>Totals</v>
      </c>
      <c r="C122" s="285">
        <f>SUM(C118:C121)</f>
        <v>0</v>
      </c>
      <c r="D122" s="238" t="s">
        <v>62</v>
      </c>
      <c r="H122" s="265" t="s">
        <v>192</v>
      </c>
      <c r="I122" s="39">
        <f>IF(C122=0,0,K122/C122)</f>
        <v>0</v>
      </c>
      <c r="J122" s="266" t="s">
        <v>172</v>
      </c>
      <c r="K122" s="43">
        <f>SUM(K118:K121)</f>
        <v>0</v>
      </c>
      <c r="L122" s="73"/>
    </row>
    <row r="123" spans="2:12">
      <c r="L123" s="70"/>
    </row>
    <row r="124" spans="2:12" ht="13">
      <c r="B124" s="217" t="s">
        <v>193</v>
      </c>
      <c r="C124" s="217"/>
      <c r="D124" s="217"/>
      <c r="E124" s="217"/>
      <c r="F124" s="217"/>
      <c r="G124" s="217"/>
      <c r="H124" s="217"/>
      <c r="I124" s="217"/>
      <c r="J124" s="217"/>
      <c r="K124" s="217"/>
      <c r="L124" s="217"/>
    </row>
    <row r="125" spans="2:12" ht="13">
      <c r="B125" s="261" t="s">
        <v>71</v>
      </c>
      <c r="C125" s="262" t="s">
        <v>72</v>
      </c>
      <c r="D125" s="262" t="s">
        <v>51</v>
      </c>
      <c r="E125" s="264" t="s">
        <v>83</v>
      </c>
      <c r="F125" s="264"/>
      <c r="G125" s="263" t="s">
        <v>50</v>
      </c>
      <c r="H125" s="263" t="s">
        <v>73</v>
      </c>
      <c r="I125" s="263" t="s">
        <v>74</v>
      </c>
      <c r="J125" s="263" t="s">
        <v>75</v>
      </c>
      <c r="K125" s="263" t="s">
        <v>76</v>
      </c>
      <c r="L125" s="70"/>
    </row>
    <row r="126" spans="2:12" ht="15" customHeight="1">
      <c r="B126" s="37" t="s">
        <v>194</v>
      </c>
      <c r="C126" s="67"/>
      <c r="D126" s="238" t="str">
        <f>_xlfn.XLOOKUP(E126,Buildings_by_area_names_UR,Buildings_by_area_unit_CS)</f>
        <v>m2</v>
      </c>
      <c r="E126" s="74" t="s">
        <v>195</v>
      </c>
      <c r="F126" s="264"/>
      <c r="G126" s="47">
        <f>_xlfn.XLOOKUP(E126,Buildings_by_area_names_UR,Buildings_by_area_removal_rates_UR)</f>
        <v>208.11062861557767</v>
      </c>
      <c r="H126" s="72"/>
      <c r="I126" s="39">
        <f>IF(H126="",G126,H126)</f>
        <v>208.11062861557767</v>
      </c>
      <c r="J126" s="238" t="str">
        <f>D126</f>
        <v>m2</v>
      </c>
      <c r="K126" s="45">
        <f>I126*C126</f>
        <v>0</v>
      </c>
      <c r="L126" s="73"/>
    </row>
    <row r="127" spans="2:12" ht="15" customHeight="1">
      <c r="B127" s="37" t="s">
        <v>196</v>
      </c>
      <c r="C127" s="67"/>
      <c r="D127" s="238" t="str">
        <f>_xlfn.XLOOKUP(E127,Buildings_by_area_names_UR,Buildings_by_area_unit_CS)</f>
        <v>m2</v>
      </c>
      <c r="E127" s="74" t="s">
        <v>197</v>
      </c>
      <c r="F127" s="264"/>
      <c r="G127" s="47">
        <f>_xlfn.XLOOKUP(E127,Buildings_by_area_names_UR,Buildings_by_area_removal_rates_UR)</f>
        <v>94.038485216966436</v>
      </c>
      <c r="H127" s="72"/>
      <c r="I127" s="39">
        <f>IF(H127="",G127,H127)</f>
        <v>94.038485216966436</v>
      </c>
      <c r="J127" s="238" t="str">
        <f t="shared" ref="J127:J130" si="8">D127</f>
        <v>m2</v>
      </c>
      <c r="K127" s="45">
        <f>I127*C127</f>
        <v>0</v>
      </c>
      <c r="L127" s="70"/>
    </row>
    <row r="128" spans="2:12" ht="15" customHeight="1">
      <c r="B128" s="37" t="s">
        <v>198</v>
      </c>
      <c r="C128" s="67"/>
      <c r="D128" s="238" t="str">
        <f>_xlfn.XLOOKUP(E128,Buildings_by_area_names_UR,Buildings_by_area_unit_CS)</f>
        <v>m2</v>
      </c>
      <c r="E128" s="74" t="s">
        <v>199</v>
      </c>
      <c r="F128" s="264"/>
      <c r="G128" s="47">
        <f>_xlfn.XLOOKUP(E128,Buildings_by_area_names_UR,Buildings_by_area_removal_rates_UR)</f>
        <v>87.229587913547633</v>
      </c>
      <c r="H128" s="72"/>
      <c r="I128" s="39">
        <f>IF(H128="",G128,H128)</f>
        <v>87.229587913547633</v>
      </c>
      <c r="J128" s="238" t="str">
        <f t="shared" si="8"/>
        <v>m2</v>
      </c>
      <c r="K128" s="45">
        <f>I128*C128</f>
        <v>0</v>
      </c>
      <c r="L128" s="73"/>
    </row>
    <row r="129" spans="2:12" ht="15" customHeight="1">
      <c r="B129" s="37" t="s">
        <v>200</v>
      </c>
      <c r="C129" s="67"/>
      <c r="D129" s="238" t="str">
        <f>_xlfn.XLOOKUP(E129,Buildings_by_area_names_UR,Buildings_by_area_unit_CS)</f>
        <v>m2</v>
      </c>
      <c r="E129" s="74" t="s">
        <v>201</v>
      </c>
      <c r="F129" s="264"/>
      <c r="G129" s="47">
        <f>_xlfn.XLOOKUP(E129,Buildings_by_area_names_UR,Buildings_by_area_removal_rates_UR)</f>
        <v>157.40763343503909</v>
      </c>
      <c r="H129" s="72"/>
      <c r="I129" s="39">
        <f>IF(H129="",G129,H129)</f>
        <v>157.40763343503909</v>
      </c>
      <c r="J129" s="238" t="str">
        <f t="shared" si="8"/>
        <v>m2</v>
      </c>
      <c r="K129" s="45">
        <f>I129*C129</f>
        <v>0</v>
      </c>
      <c r="L129" s="70"/>
    </row>
    <row r="130" spans="2:12" ht="15" customHeight="1">
      <c r="B130" s="37" t="s">
        <v>202</v>
      </c>
      <c r="C130" s="67"/>
      <c r="D130" s="238" t="str">
        <f>_xlfn.XLOOKUP(E130,Buildings_by_area_names_UR,Buildings_by_area_unit_CS)</f>
        <v>m2</v>
      </c>
      <c r="E130" s="74" t="s">
        <v>195</v>
      </c>
      <c r="F130" s="264"/>
      <c r="G130" s="47">
        <f>_xlfn.XLOOKUP(E130,Buildings_by_area_names_UR,Buildings_by_area_removal_rates_UR)</f>
        <v>208.11062861557767</v>
      </c>
      <c r="H130" s="72"/>
      <c r="I130" s="39">
        <f>IF(H130="",G130,H130)</f>
        <v>208.11062861557767</v>
      </c>
      <c r="J130" s="238" t="str">
        <f t="shared" si="8"/>
        <v>m2</v>
      </c>
      <c r="K130" s="45">
        <f>I130*C130</f>
        <v>0</v>
      </c>
      <c r="L130" s="73"/>
    </row>
    <row r="131" spans="2:12">
      <c r="C131" s="284"/>
      <c r="L131" s="73"/>
    </row>
    <row r="132" spans="2:12" ht="13">
      <c r="B132" s="249" t="str">
        <f>B$23</f>
        <v>Totals</v>
      </c>
      <c r="C132" s="285">
        <f>SUM(C125:C131)</f>
        <v>0</v>
      </c>
      <c r="D132" s="238" t="s">
        <v>203</v>
      </c>
      <c r="H132" s="265" t="s">
        <v>204</v>
      </c>
      <c r="I132" s="39">
        <f>IF(C132=0,0,K132/C132)</f>
        <v>0</v>
      </c>
      <c r="J132" s="266" t="s">
        <v>205</v>
      </c>
      <c r="K132" s="43">
        <f>SUM(K125:K131)</f>
        <v>0</v>
      </c>
      <c r="L132" s="73"/>
    </row>
    <row r="133" spans="2:12">
      <c r="L133" s="70"/>
    </row>
    <row r="134" spans="2:12" ht="13">
      <c r="B134" s="217" t="s">
        <v>206</v>
      </c>
      <c r="C134" s="217"/>
      <c r="D134" s="217"/>
      <c r="E134" s="217"/>
      <c r="F134" s="217"/>
      <c r="G134" s="217"/>
      <c r="H134" s="217"/>
      <c r="I134" s="217"/>
      <c r="J134" s="217"/>
      <c r="K134" s="217"/>
      <c r="L134" s="217"/>
    </row>
    <row r="135" spans="2:12" ht="13">
      <c r="B135" s="261" t="s">
        <v>71</v>
      </c>
      <c r="C135" s="262" t="s">
        <v>72</v>
      </c>
      <c r="D135" s="262" t="s">
        <v>51</v>
      </c>
      <c r="E135" s="264" t="s">
        <v>83</v>
      </c>
      <c r="F135" s="264"/>
      <c r="G135" s="263" t="s">
        <v>50</v>
      </c>
      <c r="H135" s="263" t="s">
        <v>73</v>
      </c>
      <c r="I135" s="263" t="s">
        <v>74</v>
      </c>
      <c r="J135" s="263" t="s">
        <v>75</v>
      </c>
      <c r="K135" s="263" t="s">
        <v>76</v>
      </c>
      <c r="L135" s="70"/>
    </row>
    <row r="136" spans="2:12" ht="14.25" customHeight="1">
      <c r="B136" s="37" t="s">
        <v>207</v>
      </c>
      <c r="C136" s="71"/>
      <c r="D136" s="238" t="s">
        <v>1007</v>
      </c>
      <c r="E136" s="78" t="s">
        <v>208</v>
      </c>
      <c r="F136" s="264"/>
      <c r="G136" s="38">
        <f>_xlfn.XLOOKUP(E136,Buildings_by_number_names_UR,Buildings_by_number_removal_rates_UR)</f>
        <v>2116.832977994005</v>
      </c>
      <c r="H136" s="72"/>
      <c r="I136" s="39">
        <f>IF(H136="",G136,H136)</f>
        <v>2116.832977994005</v>
      </c>
      <c r="J136" s="238" t="str">
        <f>D136</f>
        <v>building</v>
      </c>
      <c r="K136" s="45">
        <f>I136*C136</f>
        <v>0</v>
      </c>
      <c r="L136" s="73"/>
    </row>
    <row r="137" spans="2:12" ht="14.25" customHeight="1">
      <c r="B137" s="37" t="s">
        <v>209</v>
      </c>
      <c r="C137" s="71"/>
      <c r="D137" s="238" t="s">
        <v>1007</v>
      </c>
      <c r="E137" s="78" t="s">
        <v>210</v>
      </c>
      <c r="F137" s="264"/>
      <c r="G137" s="38">
        <f>_xlfn.XLOOKUP(E137,Buildings_by_number_names_UR,Buildings_by_number_removal_rates_UR)</f>
        <v>1535.6089147798502</v>
      </c>
      <c r="H137" s="72"/>
      <c r="I137" s="39">
        <f>IF(H137="",G137,H137)</f>
        <v>1535.6089147798502</v>
      </c>
      <c r="J137" s="238" t="str">
        <f t="shared" ref="J137:J140" si="9">D137</f>
        <v>building</v>
      </c>
      <c r="K137" s="45">
        <f>I137*C137</f>
        <v>0</v>
      </c>
      <c r="L137" s="70"/>
    </row>
    <row r="138" spans="2:12" ht="14.25" customHeight="1">
      <c r="B138" s="37" t="s">
        <v>211</v>
      </c>
      <c r="C138" s="71"/>
      <c r="D138" s="238" t="s">
        <v>1007</v>
      </c>
      <c r="E138" s="78" t="s">
        <v>212</v>
      </c>
      <c r="F138" s="264"/>
      <c r="G138" s="38">
        <f>_xlfn.XLOOKUP(E138,Buildings_by_number_names_UR,Buildings_by_number_removal_rates_UR)</f>
        <v>8718.1405761022397</v>
      </c>
      <c r="H138" s="72"/>
      <c r="I138" s="39">
        <f>IF(H138="",G138,H138)</f>
        <v>8718.1405761022397</v>
      </c>
      <c r="J138" s="238" t="str">
        <f t="shared" si="9"/>
        <v>building</v>
      </c>
      <c r="K138" s="45">
        <f>I138*C138</f>
        <v>0</v>
      </c>
      <c r="L138" s="73"/>
    </row>
    <row r="139" spans="2:12" ht="14.25" customHeight="1">
      <c r="B139" s="37" t="s">
        <v>213</v>
      </c>
      <c r="C139" s="71"/>
      <c r="D139" s="238" t="s">
        <v>1007</v>
      </c>
      <c r="E139" s="78" t="s">
        <v>214</v>
      </c>
      <c r="F139" s="264"/>
      <c r="G139" s="38">
        <f>_xlfn.XLOOKUP(E139,Buildings_by_number_names_UR,Buildings_by_number_removal_rates_UR)</f>
        <v>4996.7383848157133</v>
      </c>
      <c r="H139" s="72"/>
      <c r="I139" s="39">
        <f>IF(H139="",G139,H139)</f>
        <v>4996.7383848157133</v>
      </c>
      <c r="J139" s="238" t="str">
        <f t="shared" si="9"/>
        <v>building</v>
      </c>
      <c r="K139" s="45">
        <f>I139*C139</f>
        <v>0</v>
      </c>
      <c r="L139" s="70"/>
    </row>
    <row r="140" spans="2:12" ht="14.25" customHeight="1">
      <c r="B140" s="37" t="s">
        <v>215</v>
      </c>
      <c r="C140" s="71"/>
      <c r="D140" s="238" t="s">
        <v>1007</v>
      </c>
      <c r="E140" s="78" t="s">
        <v>210</v>
      </c>
      <c r="F140" s="264"/>
      <c r="G140" s="38">
        <f>_xlfn.XLOOKUP(E140,Buildings_by_number_names_UR,Buildings_by_number_removal_rates_UR)</f>
        <v>1535.6089147798502</v>
      </c>
      <c r="H140" s="72"/>
      <c r="I140" s="39">
        <f>IF(H140="",G140,H140)</f>
        <v>1535.6089147798502</v>
      </c>
      <c r="J140" s="238" t="str">
        <f t="shared" si="9"/>
        <v>building</v>
      </c>
      <c r="K140" s="45">
        <f>I140*C140</f>
        <v>0</v>
      </c>
      <c r="L140" s="73"/>
    </row>
    <row r="141" spans="2:12" ht="13">
      <c r="C141" s="287"/>
      <c r="F141" s="264"/>
      <c r="L141" s="70"/>
    </row>
    <row r="142" spans="2:12" ht="13">
      <c r="B142" s="249" t="str">
        <f>B$23</f>
        <v>Totals</v>
      </c>
      <c r="C142" s="278">
        <f>SUM(C135:C141)</f>
        <v>0</v>
      </c>
      <c r="D142" s="238" t="s">
        <v>216</v>
      </c>
      <c r="H142" s="265" t="s">
        <v>204</v>
      </c>
      <c r="I142" s="39">
        <f>IF(C142=0,0,K142/C142)</f>
        <v>0</v>
      </c>
      <c r="J142" s="266" t="s">
        <v>217</v>
      </c>
      <c r="K142" s="43">
        <f>SUM(K135:K141)</f>
        <v>0</v>
      </c>
      <c r="L142" s="73"/>
    </row>
    <row r="143" spans="2:12">
      <c r="L143" s="70"/>
    </row>
    <row r="144" spans="2:12" ht="13">
      <c r="B144" s="217" t="s">
        <v>218</v>
      </c>
      <c r="C144" s="217"/>
      <c r="D144" s="217"/>
      <c r="E144" s="217"/>
      <c r="F144" s="217"/>
      <c r="G144" s="217"/>
      <c r="H144" s="217"/>
      <c r="I144" s="217"/>
      <c r="J144" s="217"/>
      <c r="K144" s="217"/>
      <c r="L144" s="217"/>
    </row>
    <row r="145" spans="2:12" ht="13">
      <c r="B145" s="261" t="s">
        <v>71</v>
      </c>
      <c r="C145" s="262" t="s">
        <v>72</v>
      </c>
      <c r="D145" s="262" t="s">
        <v>51</v>
      </c>
      <c r="E145" s="264" t="s">
        <v>83</v>
      </c>
      <c r="F145" s="264"/>
      <c r="G145" s="263" t="s">
        <v>50</v>
      </c>
      <c r="H145" s="263" t="s">
        <v>73</v>
      </c>
      <c r="I145" s="263" t="s">
        <v>74</v>
      </c>
      <c r="J145" s="263" t="s">
        <v>75</v>
      </c>
      <c r="K145" s="263" t="s">
        <v>76</v>
      </c>
      <c r="L145" s="70"/>
    </row>
    <row r="146" spans="2:12" ht="13">
      <c r="B146" s="37" t="s">
        <v>219</v>
      </c>
      <c r="C146" s="67"/>
      <c r="D146" s="238" t="s">
        <v>62</v>
      </c>
      <c r="G146" s="288"/>
      <c r="H146" s="263"/>
      <c r="I146" s="263"/>
      <c r="J146" s="263"/>
      <c r="K146" s="263"/>
      <c r="L146" s="73"/>
    </row>
    <row r="147" spans="2:12" ht="13">
      <c r="B147" s="37" t="s">
        <v>220</v>
      </c>
      <c r="C147" s="67"/>
      <c r="D147" s="238" t="s">
        <v>62</v>
      </c>
      <c r="G147" s="288"/>
      <c r="H147" s="263"/>
      <c r="I147" s="263"/>
      <c r="J147" s="263"/>
      <c r="K147" s="263"/>
      <c r="L147" s="73"/>
    </row>
    <row r="148" spans="2:12" ht="13">
      <c r="B148" s="37" t="s">
        <v>221</v>
      </c>
      <c r="C148" s="67"/>
      <c r="D148" s="238" t="s">
        <v>62</v>
      </c>
      <c r="G148" s="288"/>
      <c r="H148" s="263"/>
      <c r="I148" s="263"/>
      <c r="J148" s="263"/>
      <c r="K148" s="263"/>
      <c r="L148" s="73"/>
    </row>
    <row r="149" spans="2:12" ht="13">
      <c r="B149" s="37" t="s">
        <v>222</v>
      </c>
      <c r="C149" s="67"/>
      <c r="D149" s="238" t="s">
        <v>62</v>
      </c>
      <c r="G149" s="288"/>
      <c r="H149" s="263"/>
      <c r="I149" s="263"/>
      <c r="J149" s="263"/>
      <c r="K149" s="263"/>
      <c r="L149" s="73"/>
    </row>
    <row r="150" spans="2:12" ht="13">
      <c r="B150" s="37" t="s">
        <v>223</v>
      </c>
      <c r="C150" s="67"/>
      <c r="D150" s="238" t="s">
        <v>62</v>
      </c>
      <c r="G150" s="288"/>
      <c r="H150" s="263"/>
      <c r="I150" s="263"/>
      <c r="J150" s="263"/>
      <c r="K150" s="263"/>
      <c r="L150" s="73"/>
    </row>
    <row r="151" spans="2:12" ht="13">
      <c r="B151" s="37" t="s">
        <v>224</v>
      </c>
      <c r="C151" s="289">
        <f>SUM(C146:C150)</f>
        <v>0</v>
      </c>
      <c r="D151" s="238" t="s">
        <v>62</v>
      </c>
      <c r="G151" s="263"/>
      <c r="H151" s="263"/>
      <c r="I151" s="263"/>
      <c r="J151" s="263"/>
      <c r="K151" s="263"/>
      <c r="L151" s="73"/>
    </row>
    <row r="152" spans="2:12" ht="13">
      <c r="B152" s="37" t="s">
        <v>225</v>
      </c>
      <c r="C152" s="79">
        <v>1</v>
      </c>
      <c r="G152" s="263"/>
      <c r="H152" s="263"/>
      <c r="I152" s="263"/>
      <c r="J152" s="263"/>
      <c r="K152" s="263"/>
      <c r="L152" s="70"/>
    </row>
    <row r="153" spans="2:12" ht="13">
      <c r="B153" s="37" t="s">
        <v>1320</v>
      </c>
      <c r="C153" s="290">
        <f>C152*C151</f>
        <v>0</v>
      </c>
      <c r="D153" s="238" t="s">
        <v>62</v>
      </c>
      <c r="G153" s="263"/>
      <c r="H153" s="263"/>
      <c r="I153" s="263"/>
      <c r="J153" s="263"/>
      <c r="K153" s="263"/>
      <c r="L153" s="73"/>
    </row>
    <row r="154" spans="2:12" ht="13">
      <c r="B154" s="37" t="s">
        <v>226</v>
      </c>
      <c r="C154" s="291">
        <f>Growth_media_thickness</f>
        <v>0.15</v>
      </c>
      <c r="D154" s="238" t="s">
        <v>227</v>
      </c>
      <c r="G154" s="263"/>
      <c r="H154" s="263"/>
      <c r="I154" s="263"/>
      <c r="J154" s="263"/>
      <c r="K154" s="263"/>
      <c r="L154" s="70"/>
    </row>
    <row r="155" spans="2:12" ht="13">
      <c r="B155" s="37" t="s">
        <v>228</v>
      </c>
      <c r="C155" s="75"/>
      <c r="D155" s="238" t="s">
        <v>227</v>
      </c>
      <c r="G155" s="288"/>
      <c r="H155" s="263"/>
      <c r="I155" s="263"/>
      <c r="J155" s="263"/>
      <c r="K155" s="263"/>
      <c r="L155" s="73"/>
    </row>
    <row r="156" spans="2:12" ht="13">
      <c r="B156" s="14" t="s">
        <v>230</v>
      </c>
      <c r="C156" s="285">
        <f>C153*Square_metres_in_hectare*IF(C155=0,C154,C155)</f>
        <v>0</v>
      </c>
      <c r="D156" s="238" t="s">
        <v>231</v>
      </c>
      <c r="G156" s="263"/>
      <c r="H156" s="263"/>
      <c r="I156" s="263"/>
      <c r="J156" s="263"/>
      <c r="K156" s="263"/>
      <c r="L156" s="70"/>
    </row>
    <row r="157" spans="2:12" ht="13">
      <c r="B157" s="14" t="s">
        <v>232</v>
      </c>
      <c r="C157" s="79">
        <v>0</v>
      </c>
      <c r="G157" s="288" t="s">
        <v>229</v>
      </c>
      <c r="H157" s="263"/>
      <c r="I157" s="263"/>
      <c r="J157" s="263"/>
      <c r="K157" s="263"/>
      <c r="L157" s="73"/>
    </row>
    <row r="158" spans="2:12" ht="25">
      <c r="B158" s="14" t="s">
        <v>233</v>
      </c>
      <c r="C158" s="285">
        <f>C156*C157</f>
        <v>0</v>
      </c>
      <c r="D158" s="238" t="s">
        <v>231</v>
      </c>
      <c r="E158" s="70" t="s">
        <v>1296</v>
      </c>
      <c r="G158" s="47">
        <f>_xlfn.XLOOKUP(E158,Load_haul_dump_growth_media_onsite_names_UR,Load_haul_dump_growth_media_onsite_rates_UR)</f>
        <v>4.8385504626991569</v>
      </c>
      <c r="H158" s="72"/>
      <c r="I158" s="48">
        <f>IF(H158="",G158,H158)</f>
        <v>4.8385504626991569</v>
      </c>
      <c r="J158" s="238" t="s">
        <v>231</v>
      </c>
      <c r="K158" s="45">
        <f>I158*C158</f>
        <v>0</v>
      </c>
      <c r="L158" s="70"/>
    </row>
    <row r="159" spans="2:12" ht="13">
      <c r="B159" s="14" t="s">
        <v>234</v>
      </c>
      <c r="C159" s="285">
        <f>C156-C158</f>
        <v>0</v>
      </c>
      <c r="D159" s="238" t="s">
        <v>231</v>
      </c>
      <c r="G159" s="47">
        <f>Top_soil_rate</f>
        <v>165</v>
      </c>
      <c r="H159" s="72"/>
      <c r="I159" s="48">
        <f>IF(H159="",G159,H159)</f>
        <v>165</v>
      </c>
      <c r="J159" s="238" t="s">
        <v>231</v>
      </c>
      <c r="K159" s="45">
        <f>I159*C159</f>
        <v>0</v>
      </c>
      <c r="L159" s="73"/>
    </row>
    <row r="160" spans="2:12" ht="13">
      <c r="B160" s="14" t="s">
        <v>235</v>
      </c>
      <c r="C160" s="285">
        <f>C159*_xlfn.XLOOKUP(E160,Load_haul_dump_soil_ameliorants_from_off_site_names_UR,Load_haul_dump_growth_media_distance_avg)</f>
        <v>0</v>
      </c>
      <c r="D160" s="238" t="s">
        <v>1120</v>
      </c>
      <c r="E160" s="77" t="s">
        <v>236</v>
      </c>
      <c r="G160" s="47">
        <f>_xlfn.XLOOKUP(E160,Load_haul_dump_soil_ameliorants_from_off_site_names_UR,Load_haul_dump_soil_ameliorants_from_off_site_rates_UR)</f>
        <v>0.17003460207612459</v>
      </c>
      <c r="H160" s="72"/>
      <c r="I160" s="48">
        <f>IF(H160="",G160,H160)</f>
        <v>0.17003460207612459</v>
      </c>
      <c r="J160" s="238" t="s">
        <v>231</v>
      </c>
      <c r="K160" s="45">
        <f>I160*C160</f>
        <v>0</v>
      </c>
      <c r="L160" s="70"/>
    </row>
    <row r="161" spans="2:12">
      <c r="C161" s="284"/>
      <c r="L161" s="73"/>
    </row>
    <row r="162" spans="2:12" ht="13">
      <c r="B162" s="249" t="str">
        <f>B$23</f>
        <v>Totals</v>
      </c>
      <c r="C162" s="285">
        <f>C153</f>
        <v>0</v>
      </c>
      <c r="D162" s="238" t="s">
        <v>62</v>
      </c>
      <c r="H162" s="265" t="s">
        <v>237</v>
      </c>
      <c r="I162" s="39">
        <f>IF(C162=0,0,K162/C162)</f>
        <v>0</v>
      </c>
      <c r="J162" s="266" t="s">
        <v>172</v>
      </c>
      <c r="K162" s="35">
        <f>SUM(K145:K161)</f>
        <v>0</v>
      </c>
      <c r="L162" s="70"/>
    </row>
    <row r="163" spans="2:12">
      <c r="L163" s="70"/>
    </row>
    <row r="164" spans="2:12" ht="13">
      <c r="B164" s="217" t="s">
        <v>238</v>
      </c>
      <c r="C164" s="217"/>
      <c r="D164" s="217"/>
      <c r="E164" s="217"/>
      <c r="F164" s="217"/>
      <c r="G164" s="217"/>
      <c r="H164" s="217"/>
      <c r="I164" s="217"/>
      <c r="J164" s="217"/>
      <c r="K164" s="217"/>
      <c r="L164" s="217"/>
    </row>
    <row r="165" spans="2:12" ht="13">
      <c r="B165" s="261" t="s">
        <v>71</v>
      </c>
      <c r="C165" s="262" t="s">
        <v>72</v>
      </c>
      <c r="D165" s="262" t="s">
        <v>51</v>
      </c>
      <c r="E165" s="264" t="s">
        <v>83</v>
      </c>
      <c r="F165" s="264"/>
      <c r="G165" s="263" t="s">
        <v>50</v>
      </c>
      <c r="H165" s="263" t="s">
        <v>73</v>
      </c>
      <c r="I165" s="263" t="s">
        <v>74</v>
      </c>
      <c r="J165" s="263" t="s">
        <v>75</v>
      </c>
      <c r="K165" s="263" t="s">
        <v>76</v>
      </c>
      <c r="L165" s="70"/>
    </row>
    <row r="166" spans="2:12" ht="13">
      <c r="B166" s="37" t="s">
        <v>219</v>
      </c>
      <c r="C166" s="67"/>
      <c r="D166" s="238" t="s">
        <v>62</v>
      </c>
      <c r="G166" s="288"/>
      <c r="H166" s="263"/>
      <c r="I166" s="263"/>
      <c r="J166" s="263"/>
      <c r="K166" s="263"/>
      <c r="L166" s="73"/>
    </row>
    <row r="167" spans="2:12" ht="13">
      <c r="B167" s="37" t="s">
        <v>220</v>
      </c>
      <c r="C167" s="67"/>
      <c r="D167" s="238" t="s">
        <v>62</v>
      </c>
      <c r="G167" s="288"/>
      <c r="H167" s="263"/>
      <c r="I167" s="263"/>
      <c r="J167" s="263"/>
      <c r="K167" s="263"/>
      <c r="L167" s="73"/>
    </row>
    <row r="168" spans="2:12" ht="13">
      <c r="B168" s="37" t="s">
        <v>221</v>
      </c>
      <c r="C168" s="67"/>
      <c r="D168" s="238" t="s">
        <v>62</v>
      </c>
      <c r="G168" s="288"/>
      <c r="H168" s="263"/>
      <c r="I168" s="263"/>
      <c r="J168" s="263"/>
      <c r="K168" s="263"/>
      <c r="L168" s="73"/>
    </row>
    <row r="169" spans="2:12" ht="13">
      <c r="B169" s="37" t="s">
        <v>222</v>
      </c>
      <c r="C169" s="67"/>
      <c r="D169" s="238" t="s">
        <v>62</v>
      </c>
      <c r="G169" s="288"/>
      <c r="H169" s="263"/>
      <c r="I169" s="263"/>
      <c r="J169" s="263"/>
      <c r="K169" s="263"/>
      <c r="L169" s="73"/>
    </row>
    <row r="170" spans="2:12" ht="13">
      <c r="B170" s="37" t="s">
        <v>223</v>
      </c>
      <c r="C170" s="67"/>
      <c r="D170" s="238" t="s">
        <v>62</v>
      </c>
      <c r="G170" s="288"/>
      <c r="H170" s="263"/>
      <c r="I170" s="263"/>
      <c r="J170" s="263"/>
      <c r="K170" s="263"/>
      <c r="L170" s="73"/>
    </row>
    <row r="171" spans="2:12" ht="13">
      <c r="B171" s="37" t="s">
        <v>224</v>
      </c>
      <c r="C171" s="289">
        <f>SUM(C166:C170)</f>
        <v>0</v>
      </c>
      <c r="D171" s="238" t="s">
        <v>62</v>
      </c>
      <c r="G171" s="262"/>
      <c r="H171" s="263"/>
      <c r="I171" s="263"/>
      <c r="J171" s="263"/>
      <c r="K171" s="263"/>
      <c r="L171" s="73"/>
    </row>
    <row r="172" spans="2:12" ht="13">
      <c r="B172" s="14" t="s">
        <v>239</v>
      </c>
      <c r="C172" s="79">
        <v>1</v>
      </c>
      <c r="D172" s="262"/>
      <c r="F172" s="263"/>
      <c r="G172" s="262"/>
      <c r="H172" s="263"/>
      <c r="I172" s="263"/>
      <c r="J172" s="263"/>
      <c r="K172" s="263"/>
      <c r="L172" s="70"/>
    </row>
    <row r="173" spans="2:12" ht="13">
      <c r="B173" s="14" t="s">
        <v>240</v>
      </c>
      <c r="C173" s="292">
        <f>C172*C171</f>
        <v>0</v>
      </c>
      <c r="D173" s="238" t="s">
        <v>62</v>
      </c>
      <c r="F173" s="263"/>
      <c r="G173" s="262"/>
      <c r="H173" s="263"/>
      <c r="I173" s="263"/>
      <c r="J173" s="263"/>
      <c r="K173" s="263"/>
      <c r="L173" s="73"/>
    </row>
    <row r="174" spans="2:12" ht="13">
      <c r="B174" s="14" t="s">
        <v>1003</v>
      </c>
      <c r="C174" s="285">
        <f>_xlfn.XLOOKUP(E175,Ameliorants_soil_names_As,Ameliorants_app_rate)</f>
        <v>2.5</v>
      </c>
      <c r="D174" s="238" t="s">
        <v>241</v>
      </c>
      <c r="F174" s="263"/>
      <c r="G174" s="288" t="s">
        <v>229</v>
      </c>
      <c r="H174" s="263"/>
      <c r="I174" s="263"/>
      <c r="J174" s="263"/>
      <c r="K174" s="263"/>
      <c r="L174" s="70"/>
    </row>
    <row r="175" spans="2:12" ht="13">
      <c r="B175" s="14" t="s">
        <v>242</v>
      </c>
      <c r="C175" s="285">
        <f>C174*C173</f>
        <v>0</v>
      </c>
      <c r="D175" s="238" t="s">
        <v>243</v>
      </c>
      <c r="E175" s="77" t="s">
        <v>412</v>
      </c>
      <c r="F175" s="263"/>
      <c r="G175" s="47">
        <f>_xlfn.XLOOKUP(E175,Ameliorants_names,Ameliorants_rates)</f>
        <v>115.5</v>
      </c>
      <c r="H175" s="72"/>
      <c r="I175" s="48">
        <f>IF(H175="",G175,H175)</f>
        <v>115.5</v>
      </c>
      <c r="J175" s="238" t="s">
        <v>243</v>
      </c>
      <c r="K175" s="45">
        <f>I175*C175</f>
        <v>0</v>
      </c>
      <c r="L175" s="70"/>
    </row>
    <row r="176" spans="2:12" ht="13">
      <c r="B176" s="14" t="s">
        <v>245</v>
      </c>
      <c r="C176" s="285">
        <f>C175/Soil_density*_xlfn.XLOOKUP(E176,Load_haul_dump_soil_ameliorants_from_off_site_names_UR,Load_haul_dump_growth_media_distance_avg)</f>
        <v>0</v>
      </c>
      <c r="D176" s="238" t="s">
        <v>1120</v>
      </c>
      <c r="E176" s="77" t="s">
        <v>246</v>
      </c>
      <c r="F176" s="263"/>
      <c r="G176" s="47">
        <f>_xlfn.XLOOKUP(E176,Load_haul_dump_soil_ameliorants_from_off_site_names_UR,Load_haul_dump_soil_ameliorants_from_off_site_rates_UR)</f>
        <v>0.11200692041522493</v>
      </c>
      <c r="H176" s="72"/>
      <c r="I176" s="48">
        <f>IF(H176="",G176,H176)</f>
        <v>0.11200692041522493</v>
      </c>
      <c r="J176" s="238" t="s">
        <v>231</v>
      </c>
      <c r="K176" s="45">
        <f>I176*C176</f>
        <v>0</v>
      </c>
      <c r="L176" s="73"/>
    </row>
    <row r="177" spans="2:12" ht="13">
      <c r="B177" s="14" t="s">
        <v>247</v>
      </c>
      <c r="C177" s="285">
        <f>C173</f>
        <v>0</v>
      </c>
      <c r="D177" s="238" t="s">
        <v>62</v>
      </c>
      <c r="F177" s="263"/>
      <c r="G177" s="38">
        <f>_xlfn.XLOOKUP(E175,Ameliorants_names,Ameliorants_rates_UR)</f>
        <v>1494.3985650219167</v>
      </c>
      <c r="H177" s="72"/>
      <c r="I177" s="48">
        <f>IF(H177="",G177,H177)</f>
        <v>1494.3985650219167</v>
      </c>
      <c r="J177" s="238" t="s">
        <v>62</v>
      </c>
      <c r="K177" s="45">
        <f>I177*C177</f>
        <v>0</v>
      </c>
      <c r="L177" s="73"/>
    </row>
    <row r="178" spans="2:12">
      <c r="C178" s="284"/>
      <c r="H178" s="238">
        <v>1</v>
      </c>
      <c r="L178" s="73"/>
    </row>
    <row r="179" spans="2:12" ht="13">
      <c r="B179" s="249" t="str">
        <f>B$23</f>
        <v>Totals</v>
      </c>
      <c r="C179" s="293">
        <f>C173</f>
        <v>0</v>
      </c>
      <c r="D179" s="238" t="s">
        <v>62</v>
      </c>
      <c r="F179" s="263"/>
      <c r="H179" s="265" t="s">
        <v>248</v>
      </c>
      <c r="I179" s="39">
        <f>IF(C179=0,0,K179/C179)</f>
        <v>0</v>
      </c>
      <c r="J179" s="266" t="s">
        <v>249</v>
      </c>
      <c r="K179" s="35">
        <f>SUM(K165:K178)</f>
        <v>0</v>
      </c>
      <c r="L179" s="70"/>
    </row>
    <row r="180" spans="2:12" ht="13">
      <c r="F180" s="263"/>
      <c r="H180" s="265"/>
      <c r="I180" s="54"/>
      <c r="L180" s="73"/>
    </row>
    <row r="181" spans="2:12" ht="13">
      <c r="B181" s="217" t="s">
        <v>250</v>
      </c>
      <c r="C181" s="217"/>
      <c r="D181" s="217"/>
      <c r="E181" s="217"/>
      <c r="F181" s="217"/>
      <c r="G181" s="217"/>
      <c r="H181" s="217"/>
      <c r="I181" s="217"/>
      <c r="J181" s="217"/>
      <c r="K181" s="217"/>
      <c r="L181" s="217"/>
    </row>
    <row r="182" spans="2:12" ht="13">
      <c r="B182" s="261" t="s">
        <v>71</v>
      </c>
      <c r="C182" s="262" t="s">
        <v>72</v>
      </c>
      <c r="D182" s="262" t="s">
        <v>51</v>
      </c>
      <c r="E182" s="264" t="s">
        <v>83</v>
      </c>
      <c r="F182" s="264"/>
      <c r="G182" s="263" t="s">
        <v>50</v>
      </c>
      <c r="H182" s="263" t="s">
        <v>73</v>
      </c>
      <c r="I182" s="263" t="s">
        <v>74</v>
      </c>
      <c r="J182" s="263" t="s">
        <v>75</v>
      </c>
      <c r="K182" s="263" t="s">
        <v>76</v>
      </c>
      <c r="L182" s="70"/>
    </row>
    <row r="183" spans="2:12" ht="13">
      <c r="B183" s="37" t="s">
        <v>219</v>
      </c>
      <c r="C183" s="67"/>
      <c r="D183" s="238" t="s">
        <v>62</v>
      </c>
      <c r="G183" s="288"/>
      <c r="H183" s="263"/>
      <c r="I183" s="263"/>
      <c r="J183" s="263"/>
      <c r="K183" s="263"/>
      <c r="L183" s="73"/>
    </row>
    <row r="184" spans="2:12" ht="13">
      <c r="B184" s="37" t="s">
        <v>220</v>
      </c>
      <c r="C184" s="67"/>
      <c r="D184" s="238" t="s">
        <v>62</v>
      </c>
      <c r="G184" s="288"/>
      <c r="H184" s="263"/>
      <c r="I184" s="263"/>
      <c r="J184" s="263"/>
      <c r="K184" s="263"/>
      <c r="L184" s="73"/>
    </row>
    <row r="185" spans="2:12" ht="13">
      <c r="B185" s="37" t="s">
        <v>221</v>
      </c>
      <c r="C185" s="67"/>
      <c r="D185" s="238" t="s">
        <v>62</v>
      </c>
      <c r="G185" s="288"/>
      <c r="H185" s="263"/>
      <c r="I185" s="263"/>
      <c r="J185" s="263"/>
      <c r="K185" s="263"/>
      <c r="L185" s="73"/>
    </row>
    <row r="186" spans="2:12" ht="13">
      <c r="B186" s="37" t="s">
        <v>222</v>
      </c>
      <c r="C186" s="67"/>
      <c r="D186" s="238" t="s">
        <v>62</v>
      </c>
      <c r="G186" s="288"/>
      <c r="H186" s="263"/>
      <c r="I186" s="263"/>
      <c r="J186" s="263"/>
      <c r="K186" s="263"/>
      <c r="L186" s="73"/>
    </row>
    <row r="187" spans="2:12" ht="13">
      <c r="B187" s="37" t="s">
        <v>223</v>
      </c>
      <c r="C187" s="67"/>
      <c r="D187" s="238" t="s">
        <v>62</v>
      </c>
      <c r="G187" s="288"/>
      <c r="H187" s="263"/>
      <c r="I187" s="263"/>
      <c r="J187" s="263"/>
      <c r="K187" s="263"/>
      <c r="L187" s="73"/>
    </row>
    <row r="188" spans="2:12" ht="13">
      <c r="B188" s="37" t="s">
        <v>224</v>
      </c>
      <c r="C188" s="289">
        <f>SUM(C183:C187)</f>
        <v>0</v>
      </c>
      <c r="D188" s="238" t="s">
        <v>62</v>
      </c>
      <c r="L188" s="73"/>
    </row>
    <row r="189" spans="2:12">
      <c r="B189" s="14" t="s">
        <v>251</v>
      </c>
      <c r="C189" s="79">
        <v>1</v>
      </c>
      <c r="L189" s="70"/>
    </row>
    <row r="190" spans="2:12" ht="13">
      <c r="B190" s="14" t="s">
        <v>252</v>
      </c>
      <c r="C190" s="292">
        <f>C189*C188</f>
        <v>0</v>
      </c>
      <c r="D190" s="238" t="s">
        <v>62</v>
      </c>
      <c r="E190" s="70" t="s">
        <v>253</v>
      </c>
      <c r="G190" s="38">
        <f>_xlfn.XLOOKUP(E190,Revegetation_names_UR,Revegetation_rates_UR)</f>
        <v>3009.8329628478778</v>
      </c>
      <c r="H190" s="72"/>
      <c r="I190" s="48">
        <f>IF(H190="",G190,H190)</f>
        <v>3009.8329628478778</v>
      </c>
      <c r="J190" s="238" t="s">
        <v>62</v>
      </c>
      <c r="K190" s="45">
        <f>I190*C190</f>
        <v>0</v>
      </c>
      <c r="L190" s="73"/>
    </row>
    <row r="191" spans="2:12">
      <c r="C191" s="284"/>
      <c r="L191" s="70"/>
    </row>
    <row r="192" spans="2:12" ht="13">
      <c r="B192" s="249" t="str">
        <f>B$23</f>
        <v>Totals</v>
      </c>
      <c r="C192" s="293">
        <f>C190</f>
        <v>0</v>
      </c>
      <c r="D192" s="238" t="s">
        <v>62</v>
      </c>
      <c r="G192" s="257"/>
      <c r="H192" s="275" t="s">
        <v>254</v>
      </c>
      <c r="I192" s="39">
        <f>IF(C192=0,0,K192/C192)</f>
        <v>0</v>
      </c>
      <c r="J192" s="266" t="s">
        <v>172</v>
      </c>
      <c r="K192" s="35">
        <f>SUM(K182:K191)</f>
        <v>0</v>
      </c>
      <c r="L192" s="70"/>
    </row>
    <row r="193" spans="2:12">
      <c r="L193" s="70"/>
    </row>
    <row r="194" spans="2:12" ht="13">
      <c r="B194" s="217" t="s">
        <v>255</v>
      </c>
      <c r="C194" s="217"/>
      <c r="D194" s="217"/>
      <c r="E194" s="217"/>
      <c r="F194" s="217"/>
      <c r="G194" s="217"/>
      <c r="H194" s="217"/>
      <c r="I194" s="217"/>
      <c r="J194" s="217"/>
      <c r="K194" s="217"/>
      <c r="L194" s="217"/>
    </row>
    <row r="195" spans="2:12" ht="13">
      <c r="B195" s="261" t="s">
        <v>71</v>
      </c>
      <c r="C195" s="262" t="s">
        <v>72</v>
      </c>
      <c r="D195" s="262" t="s">
        <v>51</v>
      </c>
      <c r="E195" s="264" t="s">
        <v>83</v>
      </c>
      <c r="F195" s="264"/>
      <c r="G195" s="263" t="s">
        <v>50</v>
      </c>
      <c r="H195" s="263" t="s">
        <v>73</v>
      </c>
      <c r="I195" s="263" t="s">
        <v>74</v>
      </c>
      <c r="J195" s="263" t="s">
        <v>75</v>
      </c>
      <c r="K195" s="263" t="s">
        <v>76</v>
      </c>
      <c r="L195" s="70"/>
    </row>
    <row r="196" spans="2:12">
      <c r="B196" s="37" t="s">
        <v>68</v>
      </c>
      <c r="C196" s="279">
        <f>C$14</f>
        <v>0</v>
      </c>
      <c r="D196" s="238" t="s">
        <v>138</v>
      </c>
      <c r="E196" s="294" t="str">
        <f>E$72</f>
        <v>Select make and model</v>
      </c>
      <c r="L196" s="73"/>
    </row>
    <row r="197" spans="2:12">
      <c r="B197" s="14" t="s">
        <v>256</v>
      </c>
      <c r="C197" s="55">
        <f>_xlfn.XLOOKUP(E198,Panels_haul_unload_names_UR,Panels_haul_unload_distance_avg)</f>
        <v>37.5</v>
      </c>
      <c r="D197" s="238" t="s">
        <v>86</v>
      </c>
      <c r="L197" s="73"/>
    </row>
    <row r="198" spans="2:12" ht="13">
      <c r="B198" s="14" t="s">
        <v>257</v>
      </c>
      <c r="C198" s="283">
        <f>C197*C196</f>
        <v>0</v>
      </c>
      <c r="D198" s="238" t="s">
        <v>140</v>
      </c>
      <c r="E198" s="77" t="s">
        <v>258</v>
      </c>
      <c r="G198" s="47">
        <f>_xlfn.XLOOKUP(E198,Panels_haul_unload_names_UR,Panels_haul_unload_rates_UR)</f>
        <v>3.1829473870996369E-2</v>
      </c>
      <c r="H198" s="72"/>
      <c r="I198" s="48">
        <f>IF(H198="",G198,H198)</f>
        <v>3.1829473870996369E-2</v>
      </c>
      <c r="J198" s="238" t="s">
        <v>140</v>
      </c>
      <c r="K198" s="45">
        <f>I198*C198</f>
        <v>0</v>
      </c>
      <c r="L198" s="73"/>
    </row>
    <row r="199" spans="2:12" ht="13">
      <c r="B199" s="56" t="s">
        <v>259</v>
      </c>
      <c r="C199" s="283">
        <f>C196</f>
        <v>0</v>
      </c>
      <c r="D199" s="238" t="s">
        <v>138</v>
      </c>
      <c r="E199" s="80" t="s">
        <v>260</v>
      </c>
      <c r="G199" s="47">
        <f>_xlfn.XLOOKUP(E199,Rates!$B$130:$B$131,Rates!$D$130:$D$131)</f>
        <v>1.5</v>
      </c>
      <c r="H199" s="72"/>
      <c r="I199" s="48">
        <f>IF(H199="",G199,H199)</f>
        <v>1.5</v>
      </c>
      <c r="J199" s="238" t="s">
        <v>138</v>
      </c>
      <c r="K199" s="45">
        <f>I199*C199</f>
        <v>0</v>
      </c>
      <c r="L199" s="73"/>
    </row>
    <row r="200" spans="2:12" ht="13">
      <c r="B200" s="56" t="s">
        <v>261</v>
      </c>
      <c r="C200" s="285">
        <f>IF(C13=Panels!$B$6,0,(_xlfn.XLOOKUP(E196,Panels!B:B,Panels!C:C)/kilograms_in_tonnes)*C196)</f>
        <v>0</v>
      </c>
      <c r="D200" s="238" t="s">
        <v>243</v>
      </c>
      <c r="E200" s="77" t="s">
        <v>1168</v>
      </c>
      <c r="G200" s="47">
        <f>_xlfn.XLOOKUP(E200,Waste_levy_names,Waste_levy_rates)</f>
        <v>83</v>
      </c>
      <c r="H200" s="72"/>
      <c r="I200" s="48">
        <f>IF(H200="",G200,H200)</f>
        <v>83</v>
      </c>
      <c r="J200" s="238" t="s">
        <v>243</v>
      </c>
      <c r="K200" s="45">
        <f>I200*C200</f>
        <v>0</v>
      </c>
      <c r="L200" s="70"/>
    </row>
    <row r="201" spans="2:12">
      <c r="C201" s="284"/>
      <c r="L201" s="73"/>
    </row>
    <row r="202" spans="2:12" ht="13">
      <c r="B202" s="249" t="str">
        <f>B$23</f>
        <v>Totals</v>
      </c>
      <c r="C202" s="295">
        <f>C196</f>
        <v>0</v>
      </c>
      <c r="D202" s="238" t="s">
        <v>69</v>
      </c>
      <c r="G202" s="257"/>
      <c r="H202" s="275" t="s">
        <v>263</v>
      </c>
      <c r="I202" s="48">
        <f>IF(C202=0,0,K202/C202)</f>
        <v>0</v>
      </c>
      <c r="J202" s="276" t="s">
        <v>142</v>
      </c>
      <c r="K202" s="35">
        <f>SUM(K195:K201)</f>
        <v>0</v>
      </c>
      <c r="L202" s="70"/>
    </row>
    <row r="203" spans="2:12">
      <c r="L203" s="70"/>
    </row>
    <row r="204" spans="2:12" ht="13">
      <c r="B204" s="217" t="s">
        <v>264</v>
      </c>
      <c r="C204" s="217"/>
      <c r="D204" s="217"/>
      <c r="E204" s="217"/>
      <c r="F204" s="217"/>
      <c r="G204" s="217"/>
      <c r="H204" s="217"/>
      <c r="I204" s="217"/>
      <c r="J204" s="217"/>
      <c r="K204" s="217"/>
      <c r="L204" s="217"/>
    </row>
    <row r="205" spans="2:12" ht="13">
      <c r="B205" s="261" t="s">
        <v>71</v>
      </c>
      <c r="C205" s="262" t="s">
        <v>72</v>
      </c>
      <c r="D205" s="262" t="s">
        <v>51</v>
      </c>
      <c r="E205" s="264" t="s">
        <v>83</v>
      </c>
      <c r="F205" s="264"/>
      <c r="G205" s="263" t="s">
        <v>50</v>
      </c>
      <c r="H205" s="263" t="s">
        <v>73</v>
      </c>
      <c r="I205" s="263" t="s">
        <v>74</v>
      </c>
      <c r="J205" s="263" t="s">
        <v>75</v>
      </c>
      <c r="K205" s="263" t="s">
        <v>76</v>
      </c>
      <c r="L205" s="70"/>
    </row>
    <row r="206" spans="2:12">
      <c r="B206" s="37" t="s">
        <v>68</v>
      </c>
      <c r="C206" s="279">
        <f>C$14</f>
        <v>0</v>
      </c>
      <c r="D206" s="238" t="s">
        <v>138</v>
      </c>
      <c r="E206" s="294" t="str">
        <f>E$72</f>
        <v>Select make and model</v>
      </c>
      <c r="L206" s="73"/>
    </row>
    <row r="207" spans="2:12">
      <c r="B207" s="14" t="s">
        <v>256</v>
      </c>
      <c r="C207" s="55">
        <f>_xlfn.XLOOKUP(E208,Panels_haul_unload_names_UR,Panels_haul_unload_distance_avg)</f>
        <v>65</v>
      </c>
      <c r="D207" s="238" t="s">
        <v>86</v>
      </c>
      <c r="L207" s="73"/>
    </row>
    <row r="208" spans="2:12" ht="13">
      <c r="B208" s="14" t="s">
        <v>257</v>
      </c>
      <c r="C208" s="283">
        <f>C207*C206</f>
        <v>0</v>
      </c>
      <c r="D208" s="238" t="s">
        <v>140</v>
      </c>
      <c r="E208" s="77" t="s">
        <v>265</v>
      </c>
      <c r="G208" s="47">
        <f>_xlfn.XLOOKUP(E208,Panels_haul_unload_names_UR,Panels_haul_unload_rates_UR)</f>
        <v>2.4813997997389006E-2</v>
      </c>
      <c r="H208" s="72"/>
      <c r="I208" s="48">
        <f>IF(H208="",G208,H208)</f>
        <v>2.4813997997389006E-2</v>
      </c>
      <c r="J208" s="238" t="s">
        <v>140</v>
      </c>
      <c r="K208" s="45">
        <f>I208*C208</f>
        <v>0</v>
      </c>
      <c r="L208" s="73"/>
    </row>
    <row r="209" spans="2:12" ht="13">
      <c r="B209" s="56" t="s">
        <v>259</v>
      </c>
      <c r="C209" s="283">
        <f>C206</f>
        <v>0</v>
      </c>
      <c r="D209" s="238" t="s">
        <v>138</v>
      </c>
      <c r="E209" s="80" t="s">
        <v>266</v>
      </c>
      <c r="G209" s="47">
        <f>_xlfn.XLOOKUP(E209,Rates!$B$130:$B$131,Rates!$D$130:$D$131)</f>
        <v>27</v>
      </c>
      <c r="H209" s="72"/>
      <c r="I209" s="48">
        <f>IF(H209="",G209,H209)</f>
        <v>27</v>
      </c>
      <c r="J209" s="238" t="s">
        <v>138</v>
      </c>
      <c r="K209" s="45">
        <f>I209*C209</f>
        <v>0</v>
      </c>
      <c r="L209" s="73"/>
    </row>
    <row r="210" spans="2:12" ht="13">
      <c r="B210" s="56" t="s">
        <v>261</v>
      </c>
      <c r="C210" s="285">
        <f>IF(C13=Panels!$B$6,0,(_xlfn.XLOOKUP(E206,Panels!B:B,Panels!C:C)/kilograms_in_tonnes)*C206)</f>
        <v>0</v>
      </c>
      <c r="D210" s="238" t="s">
        <v>243</v>
      </c>
      <c r="E210" s="77" t="s">
        <v>262</v>
      </c>
      <c r="G210" s="47">
        <f>_xlfn.XLOOKUP(E210,Waste_levy_names,Waste_levy_rates)</f>
        <v>83</v>
      </c>
      <c r="H210" s="72"/>
      <c r="I210" s="48">
        <f>IF(H210="",G210,H210)</f>
        <v>83</v>
      </c>
      <c r="J210" s="238" t="s">
        <v>243</v>
      </c>
      <c r="K210" s="45">
        <f>I210*C210</f>
        <v>0</v>
      </c>
      <c r="L210" s="70"/>
    </row>
    <row r="211" spans="2:12">
      <c r="C211" s="284"/>
      <c r="L211" s="73"/>
    </row>
    <row r="212" spans="2:12" ht="13">
      <c r="B212" s="249" t="str">
        <f>B$23</f>
        <v>Totals</v>
      </c>
      <c r="C212" s="295">
        <f>C206</f>
        <v>0</v>
      </c>
      <c r="D212" s="238" t="s">
        <v>69</v>
      </c>
      <c r="G212" s="257"/>
      <c r="H212" s="275" t="s">
        <v>267</v>
      </c>
      <c r="I212" s="48">
        <f>IF(C212=0,0,K212/C212)</f>
        <v>0</v>
      </c>
      <c r="J212" s="276" t="s">
        <v>142</v>
      </c>
      <c r="K212" s="35">
        <f>SUM(K205:K211)</f>
        <v>0</v>
      </c>
      <c r="L212" s="70"/>
    </row>
    <row r="213" spans="2:12">
      <c r="L213" s="70"/>
    </row>
    <row r="214" spans="2:12" ht="13">
      <c r="B214" s="217" t="s">
        <v>268</v>
      </c>
      <c r="C214" s="217"/>
      <c r="D214" s="217"/>
      <c r="E214" s="217"/>
      <c r="F214" s="217"/>
      <c r="G214" s="217"/>
      <c r="H214" s="217"/>
      <c r="I214" s="217"/>
      <c r="J214" s="217"/>
      <c r="K214" s="217"/>
      <c r="L214" s="217"/>
    </row>
    <row r="215" spans="2:12" s="257" customFormat="1" ht="23.25" customHeight="1">
      <c r="B215" s="296" t="s">
        <v>71</v>
      </c>
      <c r="C215" s="297" t="s">
        <v>72</v>
      </c>
      <c r="D215" s="297" t="s">
        <v>51</v>
      </c>
      <c r="E215" s="297" t="s">
        <v>83</v>
      </c>
      <c r="F215" s="297"/>
      <c r="G215" s="298" t="s">
        <v>50</v>
      </c>
      <c r="H215" s="298" t="s">
        <v>73</v>
      </c>
      <c r="I215" s="298" t="s">
        <v>74</v>
      </c>
      <c r="J215" s="298" t="s">
        <v>75</v>
      </c>
      <c r="K215" s="298" t="s">
        <v>76</v>
      </c>
      <c r="L215" s="82"/>
    </row>
    <row r="216" spans="2:12" s="257" customFormat="1">
      <c r="B216" s="37" t="s">
        <v>269</v>
      </c>
      <c r="C216" s="67"/>
      <c r="D216" s="257" t="s">
        <v>203</v>
      </c>
      <c r="L216" s="82"/>
    </row>
    <row r="217" spans="2:12" s="257" customFormat="1">
      <c r="B217" s="37" t="s">
        <v>270</v>
      </c>
      <c r="C217" s="67"/>
      <c r="D217" s="257" t="s">
        <v>203</v>
      </c>
      <c r="L217" s="82"/>
    </row>
    <row r="218" spans="2:12" s="257" customFormat="1">
      <c r="B218" s="81" t="s">
        <v>1345</v>
      </c>
      <c r="C218" s="67"/>
      <c r="D218" s="257" t="s">
        <v>203</v>
      </c>
      <c r="L218" s="82"/>
    </row>
    <row r="219" spans="2:12" s="257" customFormat="1">
      <c r="B219" s="81" t="s">
        <v>1345</v>
      </c>
      <c r="C219" s="67"/>
      <c r="D219" s="257" t="s">
        <v>203</v>
      </c>
      <c r="L219" s="82"/>
    </row>
    <row r="220" spans="2:12" s="257" customFormat="1">
      <c r="B220" s="81" t="s">
        <v>1345</v>
      </c>
      <c r="C220" s="67"/>
      <c r="D220" s="257" t="s">
        <v>203</v>
      </c>
      <c r="L220" s="82"/>
    </row>
    <row r="221" spans="2:12" s="257" customFormat="1" ht="13">
      <c r="B221" s="37" t="s">
        <v>271</v>
      </c>
      <c r="C221" s="289">
        <f>SUM(C216:C220)</f>
        <v>0</v>
      </c>
      <c r="D221" s="257" t="s">
        <v>203</v>
      </c>
      <c r="L221" s="82"/>
    </row>
    <row r="222" spans="2:12" s="257" customFormat="1">
      <c r="B222" s="14" t="s">
        <v>226</v>
      </c>
      <c r="C222" s="299">
        <f>Concrete_default_thickness</f>
        <v>0.2</v>
      </c>
      <c r="D222" s="257" t="s">
        <v>227</v>
      </c>
      <c r="L222" s="82"/>
    </row>
    <row r="223" spans="2:12" s="257" customFormat="1" ht="13">
      <c r="B223" s="14" t="s">
        <v>228</v>
      </c>
      <c r="C223" s="67"/>
      <c r="D223" s="257" t="s">
        <v>227</v>
      </c>
      <c r="E223" s="300" t="s">
        <v>272</v>
      </c>
      <c r="L223" s="82"/>
    </row>
    <row r="224" spans="2:12" s="257" customFormat="1" ht="13">
      <c r="B224" s="14" t="s">
        <v>273</v>
      </c>
      <c r="C224" s="67"/>
      <c r="D224" s="257" t="s">
        <v>231</v>
      </c>
      <c r="E224" s="300" t="s">
        <v>274</v>
      </c>
      <c r="L224" s="82"/>
    </row>
    <row r="225" spans="2:12" s="257" customFormat="1">
      <c r="B225" s="14" t="s">
        <v>1346</v>
      </c>
      <c r="C225" s="293">
        <f>IF(C224=0,C221*IF(C223=0,C222,C223),C224)</f>
        <v>0</v>
      </c>
      <c r="D225" s="257" t="s">
        <v>231</v>
      </c>
      <c r="L225" s="82"/>
    </row>
    <row r="226" spans="2:12" s="257" customFormat="1" ht="25">
      <c r="B226" s="14" t="s">
        <v>1117</v>
      </c>
      <c r="C226" s="293">
        <f>C225</f>
        <v>0</v>
      </c>
      <c r="D226" s="257" t="s">
        <v>231</v>
      </c>
      <c r="E226" s="76" t="s">
        <v>1297</v>
      </c>
      <c r="G226" s="47">
        <f>_xlfn.XLOOKUP(E226,Load_haul_dump_concrete_onsite_names_UR,Load_haul_dump_concrete_onsite_rates_UR)</f>
        <v>3.2507361605076919</v>
      </c>
      <c r="H226" s="72"/>
      <c r="I226" s="48">
        <f>IF(H226="",G226,H226)</f>
        <v>3.2507361605076919</v>
      </c>
      <c r="J226" s="257" t="str">
        <f>D226</f>
        <v>m3</v>
      </c>
      <c r="K226" s="49">
        <f>I226*C226</f>
        <v>0</v>
      </c>
      <c r="L226" s="82"/>
    </row>
    <row r="227" spans="2:12" s="257" customFormat="1" ht="13">
      <c r="B227" s="14" t="s">
        <v>1116</v>
      </c>
      <c r="C227" s="293">
        <f>C225*Concrete_density</f>
        <v>0</v>
      </c>
      <c r="D227" s="257" t="s">
        <v>243</v>
      </c>
      <c r="E227" s="76" t="s">
        <v>276</v>
      </c>
      <c r="G227" s="47">
        <f>_xlfn.XLOOKUP(E227,Concrete_crush_names_UR,Concrete_crush_rates_UR)</f>
        <v>7.3070947003586362</v>
      </c>
      <c r="H227" s="72"/>
      <c r="I227" s="48">
        <f>IF(H227="",G227,H227)</f>
        <v>7.3070947003586362</v>
      </c>
      <c r="J227" s="257" t="str">
        <f>D227</f>
        <v>t</v>
      </c>
      <c r="K227" s="49">
        <f>I227*C227</f>
        <v>0</v>
      </c>
      <c r="L227" s="82"/>
    </row>
    <row r="228" spans="2:12" s="257" customFormat="1" ht="25">
      <c r="B228" s="14" t="s">
        <v>1118</v>
      </c>
      <c r="C228" s="293">
        <f>C225</f>
        <v>0</v>
      </c>
      <c r="D228" s="257" t="s">
        <v>231</v>
      </c>
      <c r="E228" s="76" t="s">
        <v>1301</v>
      </c>
      <c r="G228" s="47">
        <f>_xlfn.XLOOKUP(E228,Load_haul_dump_concrete_onsite_names_UR,Load_haul_dump_concrete_onsite_rates_UR)</f>
        <v>3.2596577291351427</v>
      </c>
      <c r="H228" s="72"/>
      <c r="I228" s="48">
        <f>IF(H228="",G228,H228)</f>
        <v>3.2596577291351427</v>
      </c>
      <c r="J228" s="257" t="str">
        <f>D228</f>
        <v>m3</v>
      </c>
      <c r="K228" s="49">
        <f>I228*C228</f>
        <v>0</v>
      </c>
      <c r="L228" s="82"/>
    </row>
    <row r="229" spans="2:12" s="257" customFormat="1">
      <c r="C229" s="301"/>
      <c r="L229" s="82"/>
    </row>
    <row r="230" spans="2:12" s="257" customFormat="1" ht="13">
      <c r="B230" s="302" t="str">
        <f>B$23</f>
        <v>Totals</v>
      </c>
      <c r="C230" s="285">
        <f>C225</f>
        <v>0</v>
      </c>
      <c r="D230" s="257" t="s">
        <v>231</v>
      </c>
      <c r="H230" s="275" t="s">
        <v>277</v>
      </c>
      <c r="I230" s="57">
        <f>IF(C230=0,0,K230/C230)</f>
        <v>0</v>
      </c>
      <c r="J230" s="276" t="s">
        <v>278</v>
      </c>
      <c r="K230" s="43">
        <f>SUM(K215:K229)</f>
        <v>0</v>
      </c>
      <c r="L230" s="82"/>
    </row>
    <row r="231" spans="2:12" s="257" customFormat="1" ht="13">
      <c r="I231" s="57">
        <f>I230/Concrete_density</f>
        <v>0</v>
      </c>
      <c r="J231" s="276" t="s">
        <v>243</v>
      </c>
      <c r="L231" s="82"/>
    </row>
    <row r="232" spans="2:12">
      <c r="L232" s="70"/>
    </row>
    <row r="233" spans="2:12" ht="13">
      <c r="B233" s="217" t="s">
        <v>279</v>
      </c>
      <c r="C233" s="217"/>
      <c r="D233" s="217"/>
      <c r="E233" s="217"/>
      <c r="F233" s="217"/>
      <c r="G233" s="217"/>
      <c r="H233" s="217"/>
      <c r="I233" s="217"/>
      <c r="J233" s="217"/>
      <c r="K233" s="217"/>
      <c r="L233" s="217"/>
    </row>
    <row r="234" spans="2:12" ht="13">
      <c r="B234" s="261" t="s">
        <v>71</v>
      </c>
      <c r="C234" s="262" t="s">
        <v>72</v>
      </c>
      <c r="D234" s="262" t="s">
        <v>51</v>
      </c>
      <c r="E234" s="264" t="s">
        <v>83</v>
      </c>
      <c r="F234" s="264"/>
      <c r="G234" s="263" t="s">
        <v>50</v>
      </c>
      <c r="H234" s="263" t="s">
        <v>73</v>
      </c>
      <c r="I234" s="263" t="s">
        <v>74</v>
      </c>
      <c r="J234" s="263" t="s">
        <v>75</v>
      </c>
      <c r="K234" s="263" t="s">
        <v>76</v>
      </c>
      <c r="L234" s="70"/>
    </row>
    <row r="235" spans="2:12">
      <c r="B235" s="37" t="s">
        <v>280</v>
      </c>
      <c r="C235" s="67"/>
      <c r="D235" s="238" t="s">
        <v>243</v>
      </c>
      <c r="L235" s="73"/>
    </row>
    <row r="236" spans="2:12">
      <c r="B236" s="14" t="s">
        <v>256</v>
      </c>
      <c r="C236" s="55">
        <f>_xlfn.XLOOKUP(E237,Long_haul_names_concrete_UR,Load_haul_dump_rubble_distance_avg)</f>
        <v>17.5</v>
      </c>
      <c r="D236" s="238" t="s">
        <v>86</v>
      </c>
      <c r="L236" s="73"/>
    </row>
    <row r="237" spans="2:12" ht="13">
      <c r="B237" s="14" t="s">
        <v>257</v>
      </c>
      <c r="C237" s="283">
        <f>C236*C235</f>
        <v>0</v>
      </c>
      <c r="D237" s="238" t="s">
        <v>99</v>
      </c>
      <c r="E237" s="77" t="s">
        <v>281</v>
      </c>
      <c r="G237" s="47">
        <f>_xlfn.XLOOKUP(E237,Long_haul_names_concrete_UR,Long_haul_rates_concrete_UR)</f>
        <v>8.5512328767123265</v>
      </c>
      <c r="H237" s="72"/>
      <c r="I237" s="48">
        <f>IF(H237="",G237,H237)</f>
        <v>8.5512328767123265</v>
      </c>
      <c r="J237" s="238" t="s">
        <v>99</v>
      </c>
      <c r="K237" s="45">
        <f>I237*C237</f>
        <v>0</v>
      </c>
      <c r="L237" s="73"/>
    </row>
    <row r="238" spans="2:12" ht="13">
      <c r="B238" s="56" t="s">
        <v>259</v>
      </c>
      <c r="C238" s="285">
        <f>C235</f>
        <v>0</v>
      </c>
      <c r="D238" s="238" t="s">
        <v>243</v>
      </c>
      <c r="E238" s="80" t="s">
        <v>282</v>
      </c>
      <c r="G238" s="47">
        <f>_xlfn.XLOOKUP(E238,Disposal_gate_fee_names,Disposal_gate_fee_rates)</f>
        <v>70</v>
      </c>
      <c r="H238" s="72"/>
      <c r="I238" s="48">
        <f>IF(H238="",G238,H238)</f>
        <v>70</v>
      </c>
      <c r="J238" s="238" t="s">
        <v>243</v>
      </c>
      <c r="K238" s="45">
        <f>I238*C238</f>
        <v>0</v>
      </c>
      <c r="L238" s="73"/>
    </row>
    <row r="239" spans="2:12" ht="13">
      <c r="B239" s="56" t="s">
        <v>261</v>
      </c>
      <c r="C239" s="285">
        <f>C235</f>
        <v>0</v>
      </c>
      <c r="D239" s="238" t="s">
        <v>243</v>
      </c>
      <c r="E239" s="77" t="s">
        <v>262</v>
      </c>
      <c r="G239" s="47">
        <f>_xlfn.XLOOKUP(E239,Waste_levy_names,Waste_levy_rates)</f>
        <v>83</v>
      </c>
      <c r="H239" s="72"/>
      <c r="I239" s="48">
        <f>IF(H239="",G239,H239)</f>
        <v>83</v>
      </c>
      <c r="J239" s="238" t="s">
        <v>243</v>
      </c>
      <c r="K239" s="45">
        <f>I239*C239</f>
        <v>0</v>
      </c>
      <c r="L239" s="70"/>
    </row>
    <row r="240" spans="2:12">
      <c r="C240" s="284"/>
      <c r="L240" s="73"/>
    </row>
    <row r="241" spans="2:12" ht="13">
      <c r="B241" s="249" t="str">
        <f>B$23</f>
        <v>Totals</v>
      </c>
      <c r="C241" s="293">
        <f>C235</f>
        <v>0</v>
      </c>
      <c r="D241" s="238" t="s">
        <v>243</v>
      </c>
      <c r="G241" s="257"/>
      <c r="H241" s="275" t="s">
        <v>283</v>
      </c>
      <c r="I241" s="39">
        <f>IF(C241=0,0,K241/C241)</f>
        <v>0</v>
      </c>
      <c r="J241" s="276" t="s">
        <v>284</v>
      </c>
      <c r="K241" s="35">
        <f>SUM(K234:K240)</f>
        <v>0</v>
      </c>
      <c r="L241" s="70"/>
    </row>
    <row r="242" spans="2:12">
      <c r="L242" s="70"/>
    </row>
    <row r="243" spans="2:12" ht="13">
      <c r="B243" s="217" t="s">
        <v>285</v>
      </c>
      <c r="C243" s="217"/>
      <c r="D243" s="217"/>
      <c r="E243" s="217"/>
      <c r="F243" s="217"/>
      <c r="G243" s="217"/>
      <c r="H243" s="217"/>
      <c r="I243" s="217"/>
      <c r="J243" s="217"/>
      <c r="K243" s="217"/>
      <c r="L243" s="217"/>
    </row>
    <row r="244" spans="2:12" ht="13">
      <c r="B244" s="261" t="s">
        <v>71</v>
      </c>
      <c r="C244" s="262" t="s">
        <v>72</v>
      </c>
      <c r="D244" s="262" t="s">
        <v>51</v>
      </c>
      <c r="E244" s="264" t="s">
        <v>83</v>
      </c>
      <c r="F244" s="264"/>
      <c r="G244" s="263" t="s">
        <v>50</v>
      </c>
      <c r="H244" s="263" t="s">
        <v>73</v>
      </c>
      <c r="I244" s="263" t="s">
        <v>74</v>
      </c>
      <c r="J244" s="263" t="s">
        <v>75</v>
      </c>
      <c r="K244" s="263" t="s">
        <v>76</v>
      </c>
      <c r="L244" s="70"/>
    </row>
    <row r="245" spans="2:12">
      <c r="B245" s="37" t="s">
        <v>286</v>
      </c>
      <c r="C245" s="67"/>
      <c r="D245" s="238" t="s">
        <v>243</v>
      </c>
      <c r="L245" s="73"/>
    </row>
    <row r="246" spans="2:12">
      <c r="B246" s="14" t="s">
        <v>256</v>
      </c>
      <c r="C246" s="55">
        <f>_xlfn.XLOOKUP(E247,Long_haul_names_steel_UR,Load_haul_dump_steel_distance_avg)</f>
        <v>22.5</v>
      </c>
      <c r="D246" s="238" t="s">
        <v>86</v>
      </c>
      <c r="L246" s="73"/>
    </row>
    <row r="247" spans="2:12" ht="13">
      <c r="B247" s="14" t="s">
        <v>257</v>
      </c>
      <c r="C247" s="283">
        <f>C246*C245</f>
        <v>0</v>
      </c>
      <c r="D247" s="238" t="s">
        <v>99</v>
      </c>
      <c r="E247" s="77" t="s">
        <v>287</v>
      </c>
      <c r="G247" s="47">
        <f>_xlfn.XLOOKUP(E247,Long_haul_names_steel_UR,Long_haul_rates_steel_UR)</f>
        <v>0.17856380024776791</v>
      </c>
      <c r="H247" s="72"/>
      <c r="I247" s="48">
        <f>IF(H247="",G247,H247)</f>
        <v>0.17856380024776791</v>
      </c>
      <c r="J247" s="238" t="s">
        <v>99</v>
      </c>
      <c r="K247" s="45">
        <f>I247*C247</f>
        <v>0</v>
      </c>
      <c r="L247" s="73"/>
    </row>
    <row r="248" spans="2:12" ht="13">
      <c r="B248" s="56" t="s">
        <v>259</v>
      </c>
      <c r="C248" s="285">
        <f>C245</f>
        <v>0</v>
      </c>
      <c r="D248" s="238" t="s">
        <v>243</v>
      </c>
      <c r="E248" s="80" t="s">
        <v>288</v>
      </c>
      <c r="G248" s="47">
        <f>_xlfn.XLOOKUP(E248,Disposal_gate_fee_names,Disposal_gate_fee_rates)</f>
        <v>0</v>
      </c>
      <c r="H248" s="72"/>
      <c r="I248" s="48">
        <f>IF(H248="",G248,H248)</f>
        <v>0</v>
      </c>
      <c r="J248" s="238" t="s">
        <v>243</v>
      </c>
      <c r="K248" s="45">
        <f>I248*C248</f>
        <v>0</v>
      </c>
      <c r="L248" s="73"/>
    </row>
    <row r="249" spans="2:12" ht="13">
      <c r="B249" s="56" t="s">
        <v>261</v>
      </c>
      <c r="C249" s="285">
        <f>C245</f>
        <v>0</v>
      </c>
      <c r="D249" s="238" t="s">
        <v>243</v>
      </c>
      <c r="E249" s="77" t="s">
        <v>262</v>
      </c>
      <c r="G249" s="47">
        <f>_xlfn.XLOOKUP(E249,Waste_levy_names,Waste_levy_rates)</f>
        <v>83</v>
      </c>
      <c r="H249" s="72"/>
      <c r="I249" s="48">
        <f>IF(H249="",G249,H249)</f>
        <v>83</v>
      </c>
      <c r="J249" s="238" t="s">
        <v>243</v>
      </c>
      <c r="K249" s="45">
        <f>I249*C249</f>
        <v>0</v>
      </c>
      <c r="L249" s="70"/>
    </row>
    <row r="250" spans="2:12">
      <c r="C250" s="284"/>
      <c r="L250" s="73"/>
    </row>
    <row r="251" spans="2:12" ht="13">
      <c r="B251" s="249" t="str">
        <f>B$23</f>
        <v>Totals</v>
      </c>
      <c r="C251" s="293">
        <f>C245</f>
        <v>0</v>
      </c>
      <c r="D251" s="238" t="s">
        <v>243</v>
      </c>
      <c r="G251" s="257"/>
      <c r="H251" s="275" t="s">
        <v>289</v>
      </c>
      <c r="I251" s="39">
        <f>IF(C251=0,0,K251/C251)</f>
        <v>0</v>
      </c>
      <c r="J251" s="276" t="s">
        <v>284</v>
      </c>
      <c r="K251" s="35">
        <f>SUM(K244:K250)</f>
        <v>0</v>
      </c>
      <c r="L251" s="70"/>
    </row>
    <row r="252" spans="2:12">
      <c r="L252" s="70"/>
    </row>
    <row r="253" spans="2:12" ht="13">
      <c r="B253" s="217" t="s">
        <v>290</v>
      </c>
      <c r="C253" s="217"/>
      <c r="D253" s="217"/>
      <c r="E253" s="217"/>
      <c r="F253" s="217"/>
      <c r="G253" s="217"/>
      <c r="H253" s="217"/>
      <c r="I253" s="217"/>
      <c r="J253" s="217"/>
      <c r="K253" s="217"/>
      <c r="L253" s="217"/>
    </row>
    <row r="254" spans="2:12" ht="13">
      <c r="B254" s="261" t="s">
        <v>71</v>
      </c>
      <c r="C254" s="262" t="s">
        <v>72</v>
      </c>
      <c r="D254" s="262" t="s">
        <v>51</v>
      </c>
      <c r="E254" s="264" t="s">
        <v>83</v>
      </c>
      <c r="F254" s="264"/>
      <c r="G254" s="263" t="s">
        <v>50</v>
      </c>
      <c r="H254" s="263" t="s">
        <v>73</v>
      </c>
      <c r="I254" s="263" t="s">
        <v>74</v>
      </c>
      <c r="J254" s="263" t="s">
        <v>75</v>
      </c>
      <c r="K254" s="263" t="s">
        <v>76</v>
      </c>
      <c r="L254" s="70"/>
    </row>
    <row r="255" spans="2:12">
      <c r="B255" s="37" t="s">
        <v>291</v>
      </c>
      <c r="C255" s="67"/>
      <c r="D255" s="238" t="s">
        <v>243</v>
      </c>
      <c r="L255" s="73"/>
    </row>
    <row r="256" spans="2:12">
      <c r="B256" s="14" t="s">
        <v>256</v>
      </c>
      <c r="C256" s="55">
        <f>_xlfn.XLOOKUP(E257,Load_haul_dump_soil_ameliorants_from_off_site_names_UR,Load_haul_dump_growth_media_distance_avg)</f>
        <v>22.5</v>
      </c>
      <c r="D256" s="238" t="s">
        <v>86</v>
      </c>
      <c r="L256" s="73"/>
    </row>
    <row r="257" spans="2:12" ht="13">
      <c r="B257" s="14" t="s">
        <v>257</v>
      </c>
      <c r="C257" s="283">
        <f>C256*C255</f>
        <v>0</v>
      </c>
      <c r="D257" s="238" t="s">
        <v>99</v>
      </c>
      <c r="E257" s="77" t="s">
        <v>246</v>
      </c>
      <c r="G257" s="47">
        <f>_xlfn.XLOOKUP(E257,Load_haul_dump_soil_ameliorants_from_off_site_names_UR,Load_haul_dump_soil_ameliorants_from_off_site_rates_UR)</f>
        <v>0.11200692041522493</v>
      </c>
      <c r="H257" s="72"/>
      <c r="I257" s="48">
        <f>IF(H257="",G257,H257)</f>
        <v>0.11200692041522493</v>
      </c>
      <c r="J257" s="238" t="s">
        <v>99</v>
      </c>
      <c r="K257" s="45">
        <f>I257*C257</f>
        <v>0</v>
      </c>
      <c r="L257" s="73"/>
    </row>
    <row r="258" spans="2:12" ht="13">
      <c r="B258" s="56" t="s">
        <v>259</v>
      </c>
      <c r="C258" s="285">
        <f>C255</f>
        <v>0</v>
      </c>
      <c r="D258" s="238" t="s">
        <v>243</v>
      </c>
      <c r="E258" s="80" t="s">
        <v>292</v>
      </c>
      <c r="G258" s="47">
        <f>_xlfn.XLOOKUP(E258,Disposal_gate_fee_names,Disposal_gate_fee_rates)</f>
        <v>275</v>
      </c>
      <c r="H258" s="72"/>
      <c r="I258" s="48">
        <f>IF(H258="",G258,H258)</f>
        <v>275</v>
      </c>
      <c r="J258" s="238" t="s">
        <v>243</v>
      </c>
      <c r="K258" s="45">
        <f>I258*C258</f>
        <v>0</v>
      </c>
      <c r="L258" s="73"/>
    </row>
    <row r="259" spans="2:12" ht="13">
      <c r="B259" s="56" t="s">
        <v>261</v>
      </c>
      <c r="C259" s="285">
        <f>C255</f>
        <v>0</v>
      </c>
      <c r="D259" s="238" t="s">
        <v>243</v>
      </c>
      <c r="E259" s="77" t="s">
        <v>262</v>
      </c>
      <c r="G259" s="47">
        <f>_xlfn.XLOOKUP(E259,Waste_levy_names,Waste_levy_rates)</f>
        <v>83</v>
      </c>
      <c r="H259" s="72"/>
      <c r="I259" s="48">
        <f>IF(H259="",G259,H259)</f>
        <v>83</v>
      </c>
      <c r="J259" s="238" t="s">
        <v>243</v>
      </c>
      <c r="K259" s="45">
        <f>I259*C259</f>
        <v>0</v>
      </c>
      <c r="L259" s="73"/>
    </row>
    <row r="260" spans="2:12">
      <c r="C260" s="284"/>
      <c r="L260" s="73"/>
    </row>
    <row r="261" spans="2:12" ht="13">
      <c r="B261" s="249" t="str">
        <f>B$23</f>
        <v>Totals</v>
      </c>
      <c r="C261" s="293">
        <f>C255</f>
        <v>0</v>
      </c>
      <c r="D261" s="238" t="s">
        <v>243</v>
      </c>
      <c r="G261" s="257"/>
      <c r="H261" s="275" t="s">
        <v>293</v>
      </c>
      <c r="I261" s="39">
        <f>IF(C261=0,0,K261/C261)</f>
        <v>0</v>
      </c>
      <c r="J261" s="276" t="s">
        <v>284</v>
      </c>
      <c r="K261" s="35">
        <f>SUM(K254:K260)</f>
        <v>0</v>
      </c>
      <c r="L261" s="70"/>
    </row>
    <row r="262" spans="2:12">
      <c r="L262" s="70"/>
    </row>
    <row r="263" spans="2:12" ht="13">
      <c r="B263" s="217" t="s">
        <v>294</v>
      </c>
      <c r="C263" s="217"/>
      <c r="D263" s="217"/>
      <c r="E263" s="217"/>
      <c r="F263" s="217"/>
      <c r="G263" s="217"/>
      <c r="H263" s="217"/>
      <c r="I263" s="217"/>
      <c r="J263" s="217"/>
      <c r="K263" s="217"/>
      <c r="L263" s="217"/>
    </row>
    <row r="264" spans="2:12" ht="13">
      <c r="B264" s="261" t="s">
        <v>71</v>
      </c>
      <c r="C264" s="262" t="s">
        <v>72</v>
      </c>
      <c r="D264" s="262" t="s">
        <v>51</v>
      </c>
      <c r="E264" s="264" t="s">
        <v>83</v>
      </c>
      <c r="F264" s="264"/>
      <c r="G264" s="263" t="s">
        <v>50</v>
      </c>
      <c r="H264" s="263" t="s">
        <v>73</v>
      </c>
      <c r="I264" s="263" t="s">
        <v>74</v>
      </c>
      <c r="J264" s="263" t="s">
        <v>75</v>
      </c>
      <c r="K264" s="263" t="s">
        <v>76</v>
      </c>
      <c r="L264" s="70"/>
    </row>
    <row r="265" spans="2:12" ht="13">
      <c r="B265" s="37" t="s">
        <v>295</v>
      </c>
      <c r="C265" s="71"/>
      <c r="D265" s="257" t="s">
        <v>302</v>
      </c>
      <c r="E265" s="77" t="s">
        <v>297</v>
      </c>
      <c r="G265" s="38">
        <f>_xlfn.XLOOKUP(E265,Mobe_names_solar_CS,Mobe_rates_solar_CS)</f>
        <v>38000</v>
      </c>
      <c r="H265" s="72"/>
      <c r="I265" s="39">
        <f t="shared" ref="I265:I266" si="10">IF(H265="",G265,H265)</f>
        <v>38000</v>
      </c>
      <c r="J265" s="238" t="s">
        <v>296</v>
      </c>
      <c r="K265" s="45">
        <f>I265*C265</f>
        <v>0</v>
      </c>
      <c r="L265" s="73"/>
    </row>
    <row r="266" spans="2:12" ht="13">
      <c r="B266" s="37" t="s">
        <v>298</v>
      </c>
      <c r="C266" s="71"/>
      <c r="D266" s="257" t="s">
        <v>302</v>
      </c>
      <c r="E266" s="77" t="s">
        <v>299</v>
      </c>
      <c r="G266" s="38">
        <f>_xlfn.XLOOKUP(E266,Mobe_names_electrical_CS,Mobe_rates_electrical_CS)</f>
        <v>38000</v>
      </c>
      <c r="H266" s="72"/>
      <c r="I266" s="39">
        <f t="shared" si="10"/>
        <v>38000</v>
      </c>
      <c r="J266" s="238" t="s">
        <v>296</v>
      </c>
      <c r="K266" s="45">
        <f t="shared" ref="K266:K267" si="11">I266*C266</f>
        <v>0</v>
      </c>
      <c r="L266" s="73"/>
    </row>
    <row r="267" spans="2:12" ht="13">
      <c r="B267" s="37" t="s">
        <v>300</v>
      </c>
      <c r="C267" s="71"/>
      <c r="D267" s="257" t="s">
        <v>302</v>
      </c>
      <c r="E267" s="77" t="s">
        <v>301</v>
      </c>
      <c r="G267" s="38">
        <f>_xlfn.XLOOKUP(E267,Mobe_names_land_CS,Mobe_rates_land_CS)</f>
        <v>61000</v>
      </c>
      <c r="H267" s="72"/>
      <c r="I267" s="39">
        <f>IF(H267="",G267,H267)</f>
        <v>61000</v>
      </c>
      <c r="J267" s="238" t="s">
        <v>296</v>
      </c>
      <c r="K267" s="45">
        <f t="shared" si="11"/>
        <v>0</v>
      </c>
      <c r="L267" s="73"/>
    </row>
    <row r="268" spans="2:12">
      <c r="C268" s="303"/>
      <c r="D268" s="257"/>
      <c r="L268" s="73"/>
    </row>
    <row r="269" spans="2:12" ht="13">
      <c r="B269" s="249" t="str">
        <f>B$23</f>
        <v>Totals</v>
      </c>
      <c r="C269" s="304">
        <f>SUM(C265:C267)</f>
        <v>0</v>
      </c>
      <c r="D269" s="257" t="s">
        <v>302</v>
      </c>
      <c r="G269" s="257"/>
      <c r="H269" s="275" t="s">
        <v>303</v>
      </c>
      <c r="I269" s="39">
        <f>IF(C269=0,0,K269/C269)</f>
        <v>0</v>
      </c>
      <c r="J269" s="276" t="s">
        <v>420</v>
      </c>
      <c r="K269" s="35">
        <f>SUM(K264:K268)</f>
        <v>0</v>
      </c>
      <c r="L269" s="70"/>
    </row>
    <row r="270" spans="2:12">
      <c r="L270" s="70"/>
    </row>
    <row r="271" spans="2:12" ht="13">
      <c r="B271" s="217" t="s">
        <v>304</v>
      </c>
      <c r="C271" s="217"/>
      <c r="D271" s="217"/>
      <c r="E271" s="217"/>
      <c r="F271" s="217"/>
      <c r="G271" s="217"/>
      <c r="H271" s="217"/>
      <c r="I271" s="217"/>
      <c r="J271" s="217"/>
      <c r="K271" s="217"/>
      <c r="L271" s="217"/>
    </row>
    <row r="272" spans="2:12" ht="27" customHeight="1">
      <c r="B272" s="261" t="s">
        <v>71</v>
      </c>
      <c r="C272" s="262" t="s">
        <v>72</v>
      </c>
      <c r="D272" s="262" t="s">
        <v>51</v>
      </c>
      <c r="E272" s="264"/>
      <c r="F272" s="264"/>
      <c r="G272" s="263" t="s">
        <v>50</v>
      </c>
      <c r="H272" s="263" t="s">
        <v>73</v>
      </c>
      <c r="I272" s="263" t="s">
        <v>74</v>
      </c>
      <c r="J272" s="263" t="s">
        <v>75</v>
      </c>
      <c r="K272" s="263" t="s">
        <v>76</v>
      </c>
      <c r="L272" s="70"/>
    </row>
    <row r="273" spans="2:12" ht="13">
      <c r="B273" s="37" t="str">
        <f>'Cost Schedule'!B412</f>
        <v>Solar Farm Permitting</v>
      </c>
      <c r="C273" s="71"/>
      <c r="D273" s="238" t="s">
        <v>308</v>
      </c>
      <c r="G273" s="38">
        <f>'Cost Schedule'!C412</f>
        <v>36801.086205621214</v>
      </c>
      <c r="H273" s="72"/>
      <c r="I273" s="39">
        <f t="shared" ref="I273:I275" si="12">IF(H273="",G273,H273)</f>
        <v>36801.086205621214</v>
      </c>
      <c r="J273" s="257" t="s">
        <v>78</v>
      </c>
      <c r="K273" s="45">
        <f>I273*C273</f>
        <v>0</v>
      </c>
      <c r="L273" s="73"/>
    </row>
    <row r="274" spans="2:12" ht="13">
      <c r="B274" s="37" t="str">
        <f>'Cost Schedule'!B414</f>
        <v>Solar Farm Decommissioning Plan</v>
      </c>
      <c r="C274" s="71"/>
      <c r="D274" s="238" t="s">
        <v>308</v>
      </c>
      <c r="G274" s="38">
        <f>'Cost Schedule'!C414</f>
        <v>40400.928993950867</v>
      </c>
      <c r="H274" s="72"/>
      <c r="I274" s="39">
        <f t="shared" si="12"/>
        <v>40400.928993950867</v>
      </c>
      <c r="J274" s="257" t="s">
        <v>1043</v>
      </c>
      <c r="K274" s="45">
        <f t="shared" ref="K274:K275" si="13">I274*C274</f>
        <v>0</v>
      </c>
      <c r="L274" s="70"/>
    </row>
    <row r="275" spans="2:12" ht="13">
      <c r="B275" s="37" t="s">
        <v>306</v>
      </c>
      <c r="C275" s="71"/>
      <c r="D275" s="238" t="s">
        <v>308</v>
      </c>
      <c r="G275" s="47"/>
      <c r="H275" s="72"/>
      <c r="I275" s="48">
        <f t="shared" si="12"/>
        <v>0</v>
      </c>
      <c r="J275" s="257" t="s">
        <v>305</v>
      </c>
      <c r="K275" s="45">
        <f t="shared" si="13"/>
        <v>0</v>
      </c>
      <c r="L275" s="73"/>
    </row>
    <row r="276" spans="2:12" ht="13">
      <c r="B276" s="37" t="s">
        <v>307</v>
      </c>
      <c r="C276" s="71"/>
      <c r="D276" s="238" t="s">
        <v>308</v>
      </c>
      <c r="G276" s="47"/>
      <c r="H276" s="72"/>
      <c r="I276" s="48">
        <f>IF(H276="",G276,H276)</f>
        <v>0</v>
      </c>
      <c r="J276" s="257" t="s">
        <v>305</v>
      </c>
      <c r="K276" s="45">
        <f>I276*C276</f>
        <v>0</v>
      </c>
      <c r="L276" s="70"/>
    </row>
    <row r="277" spans="2:12" ht="13">
      <c r="B277" s="81" t="s">
        <v>1345</v>
      </c>
      <c r="C277" s="71"/>
      <c r="D277" s="238" t="s">
        <v>308</v>
      </c>
      <c r="G277" s="47"/>
      <c r="H277" s="72"/>
      <c r="I277" s="48">
        <f>IF(H277="",G277,H277)</f>
        <v>0</v>
      </c>
      <c r="J277" s="257" t="s">
        <v>305</v>
      </c>
      <c r="K277" s="45">
        <f>I277*C277</f>
        <v>0</v>
      </c>
      <c r="L277" s="73"/>
    </row>
    <row r="278" spans="2:12">
      <c r="C278" s="305"/>
      <c r="L278" s="73"/>
    </row>
    <row r="279" spans="2:12" ht="13">
      <c r="B279" s="249" t="str">
        <f>B$23</f>
        <v>Totals</v>
      </c>
      <c r="C279" s="304">
        <f>SUM(C272:C278)</f>
        <v>0</v>
      </c>
      <c r="D279" s="238" t="s">
        <v>308</v>
      </c>
      <c r="G279" s="257"/>
      <c r="H279" s="275" t="s">
        <v>309</v>
      </c>
      <c r="I279" s="39">
        <f>IF(C279=0,0,K279/C279)</f>
        <v>0</v>
      </c>
      <c r="J279" s="276" t="s">
        <v>462</v>
      </c>
      <c r="K279" s="35">
        <f>SUM(K272:K278)</f>
        <v>0</v>
      </c>
      <c r="L279" s="70"/>
    </row>
    <row r="280" spans="2:12">
      <c r="L280" s="70"/>
    </row>
    <row r="281" spans="2:12" ht="13">
      <c r="B281" s="217" t="s">
        <v>310</v>
      </c>
      <c r="C281" s="217"/>
      <c r="D281" s="217"/>
      <c r="E281" s="217"/>
      <c r="F281" s="217"/>
      <c r="G281" s="217"/>
      <c r="H281" s="217"/>
      <c r="I281" s="217"/>
      <c r="J281" s="217"/>
      <c r="K281" s="217"/>
      <c r="L281" s="217"/>
    </row>
    <row r="282" spans="2:12" ht="13">
      <c r="B282" s="261" t="s">
        <v>71</v>
      </c>
      <c r="C282" s="262" t="s">
        <v>72</v>
      </c>
      <c r="D282" s="262" t="s">
        <v>51</v>
      </c>
      <c r="E282" s="264" t="s">
        <v>59</v>
      </c>
      <c r="F282" s="264"/>
      <c r="G282" s="263"/>
      <c r="H282" s="263" t="s">
        <v>73</v>
      </c>
      <c r="I282" s="263" t="s">
        <v>74</v>
      </c>
      <c r="J282" s="263" t="s">
        <v>75</v>
      </c>
      <c r="K282" s="263" t="s">
        <v>76</v>
      </c>
      <c r="L282" s="70"/>
    </row>
    <row r="283" spans="2:12" ht="13">
      <c r="B283" s="81" t="s">
        <v>311</v>
      </c>
      <c r="C283" s="67"/>
      <c r="D283" s="83"/>
      <c r="E283" s="70"/>
      <c r="H283" s="72"/>
      <c r="I283" s="48">
        <f t="shared" ref="I283:I285" si="14">IF(H283="",G283,H283)</f>
        <v>0</v>
      </c>
      <c r="J283" s="306">
        <f>D283</f>
        <v>0</v>
      </c>
      <c r="K283" s="45">
        <f t="shared" ref="K283:K288" si="15">I283*C283</f>
        <v>0</v>
      </c>
      <c r="L283" s="73"/>
    </row>
    <row r="284" spans="2:12" ht="13">
      <c r="B284" s="81" t="s">
        <v>311</v>
      </c>
      <c r="C284" s="67"/>
      <c r="D284" s="83"/>
      <c r="E284" s="70"/>
      <c r="H284" s="72"/>
      <c r="I284" s="48">
        <f t="shared" si="14"/>
        <v>0</v>
      </c>
      <c r="J284" s="306">
        <f t="shared" ref="J284:J288" si="16">D284</f>
        <v>0</v>
      </c>
      <c r="K284" s="45">
        <f t="shared" si="15"/>
        <v>0</v>
      </c>
      <c r="L284" s="70"/>
    </row>
    <row r="285" spans="2:12" ht="13">
      <c r="B285" s="81" t="s">
        <v>311</v>
      </c>
      <c r="C285" s="67"/>
      <c r="D285" s="83"/>
      <c r="E285" s="70"/>
      <c r="H285" s="72"/>
      <c r="I285" s="48">
        <f t="shared" si="14"/>
        <v>0</v>
      </c>
      <c r="J285" s="306">
        <f t="shared" si="16"/>
        <v>0</v>
      </c>
      <c r="K285" s="45">
        <f t="shared" si="15"/>
        <v>0</v>
      </c>
      <c r="L285" s="73"/>
    </row>
    <row r="286" spans="2:12" ht="13">
      <c r="B286" s="81" t="s">
        <v>311</v>
      </c>
      <c r="C286" s="67"/>
      <c r="D286" s="83"/>
      <c r="E286" s="70"/>
      <c r="H286" s="72"/>
      <c r="I286" s="48">
        <f>IF(H286="",G286,H286)</f>
        <v>0</v>
      </c>
      <c r="J286" s="306">
        <f t="shared" si="16"/>
        <v>0</v>
      </c>
      <c r="K286" s="45">
        <f t="shared" si="15"/>
        <v>0</v>
      </c>
      <c r="L286" s="70"/>
    </row>
    <row r="287" spans="2:12" ht="13">
      <c r="B287" s="81" t="s">
        <v>311</v>
      </c>
      <c r="C287" s="67"/>
      <c r="D287" s="83"/>
      <c r="E287" s="70"/>
      <c r="H287" s="72"/>
      <c r="I287" s="48">
        <f>IF(H287="",G287,H287)</f>
        <v>0</v>
      </c>
      <c r="J287" s="306">
        <f t="shared" si="16"/>
        <v>0</v>
      </c>
      <c r="K287" s="45">
        <f t="shared" si="15"/>
        <v>0</v>
      </c>
      <c r="L287" s="73"/>
    </row>
    <row r="288" spans="2:12" ht="13">
      <c r="B288" s="81" t="s">
        <v>311</v>
      </c>
      <c r="C288" s="67"/>
      <c r="D288" s="83"/>
      <c r="E288" s="70"/>
      <c r="H288" s="72"/>
      <c r="I288" s="48">
        <f>IF(H288="",G288,H288)</f>
        <v>0</v>
      </c>
      <c r="J288" s="306">
        <f t="shared" si="16"/>
        <v>0</v>
      </c>
      <c r="K288" s="45">
        <f t="shared" si="15"/>
        <v>0</v>
      </c>
      <c r="L288" s="70"/>
    </row>
    <row r="289" spans="2:12">
      <c r="C289" s="284"/>
      <c r="L289" s="73"/>
    </row>
    <row r="290" spans="2:12" ht="13">
      <c r="B290" s="249" t="str">
        <f>B$23</f>
        <v>Totals</v>
      </c>
      <c r="C290" s="293">
        <f>SUM(C282:C289)</f>
        <v>0</v>
      </c>
      <c r="D290" s="306">
        <f>D283</f>
        <v>0</v>
      </c>
      <c r="G290" s="257"/>
      <c r="H290" s="275" t="s">
        <v>312</v>
      </c>
      <c r="I290" s="48">
        <f>IF(C290=0,0,K290/C290)</f>
        <v>0</v>
      </c>
      <c r="J290" s="307" t="s">
        <v>313</v>
      </c>
      <c r="K290" s="35">
        <f>SUM(K282:K289)</f>
        <v>0</v>
      </c>
      <c r="L290" s="70"/>
    </row>
    <row r="291" spans="2:12">
      <c r="L291" s="70"/>
    </row>
    <row r="292" spans="2:12" ht="13">
      <c r="B292" s="217" t="s">
        <v>314</v>
      </c>
      <c r="C292" s="217"/>
      <c r="D292" s="217"/>
      <c r="E292" s="217"/>
      <c r="F292" s="217"/>
      <c r="G292" s="217"/>
      <c r="H292" s="217"/>
      <c r="I292" s="217"/>
      <c r="J292" s="217"/>
      <c r="K292" s="217"/>
      <c r="L292" s="217"/>
    </row>
    <row r="293" spans="2:12" ht="13">
      <c r="B293" s="261" t="s">
        <v>71</v>
      </c>
      <c r="C293" s="262" t="s">
        <v>315</v>
      </c>
      <c r="D293" s="262" t="s">
        <v>316</v>
      </c>
      <c r="E293" s="264"/>
      <c r="F293" s="264" t="s">
        <v>317</v>
      </c>
      <c r="G293" s="263" t="s">
        <v>50</v>
      </c>
      <c r="H293" s="263" t="s">
        <v>73</v>
      </c>
      <c r="I293" s="263" t="s">
        <v>74</v>
      </c>
      <c r="J293" s="263" t="s">
        <v>75</v>
      </c>
      <c r="K293" s="263" t="s">
        <v>76</v>
      </c>
      <c r="L293" s="70"/>
    </row>
    <row r="294" spans="2:12" ht="13">
      <c r="B294" s="37" t="s">
        <v>318</v>
      </c>
      <c r="C294" s="58">
        <f>Project_management_percentage</f>
        <v>0.1</v>
      </c>
      <c r="D294" s="84"/>
      <c r="E294" s="308" t="s">
        <v>319</v>
      </c>
      <c r="F294" s="309">
        <f>SUM(K23,K38,K44,K51,K61,K68,K78,K101,K115,K122,K132,K142,K162,K179,K192,K202,K212,K230,K241,K251,K261,K269,K279,K290)</f>
        <v>0</v>
      </c>
      <c r="G294" s="38">
        <f>F$294*IF(D294="",C294,D294)</f>
        <v>0</v>
      </c>
      <c r="H294" s="72"/>
      <c r="I294" s="39">
        <f>IF(H294="",G294,H294)</f>
        <v>0</v>
      </c>
      <c r="J294" s="257"/>
      <c r="K294" s="45">
        <f>I294</f>
        <v>0</v>
      </c>
      <c r="L294" s="70"/>
    </row>
    <row r="295" spans="2:12" ht="13">
      <c r="B295" s="37" t="s">
        <v>320</v>
      </c>
      <c r="C295" s="58">
        <f>Ongoing_monitoring_percentage</f>
        <v>0.05</v>
      </c>
      <c r="D295" s="84"/>
      <c r="E295" s="308" t="s">
        <v>319</v>
      </c>
      <c r="G295" s="38">
        <f>F$294*IF(D295="",C295,D295)</f>
        <v>0</v>
      </c>
      <c r="H295" s="72"/>
      <c r="I295" s="39">
        <f t="shared" ref="I295:I296" si="17">IF(H295="",G295,H295)</f>
        <v>0</v>
      </c>
      <c r="J295" s="257"/>
      <c r="K295" s="45">
        <f t="shared" ref="K295:K296" si="18">I295</f>
        <v>0</v>
      </c>
      <c r="L295" s="70"/>
    </row>
    <row r="296" spans="2:12" ht="13">
      <c r="B296" s="59" t="s">
        <v>321</v>
      </c>
      <c r="C296" s="58">
        <f>Contingency_percentage</f>
        <v>0.1</v>
      </c>
      <c r="D296" s="84"/>
      <c r="E296" s="308" t="s">
        <v>319</v>
      </c>
      <c r="G296" s="38">
        <f t="shared" ref="G296" si="19">F$294*IF(D296="",C296,D296)</f>
        <v>0</v>
      </c>
      <c r="H296" s="72"/>
      <c r="I296" s="39">
        <f t="shared" si="17"/>
        <v>0</v>
      </c>
      <c r="J296" s="257"/>
      <c r="K296" s="45">
        <f t="shared" si="18"/>
        <v>0</v>
      </c>
      <c r="L296" s="70"/>
    </row>
    <row r="297" spans="2:12">
      <c r="L297" s="70"/>
    </row>
    <row r="298" spans="2:12" ht="13">
      <c r="G298" s="257"/>
      <c r="H298" s="257"/>
      <c r="I298" s="257"/>
      <c r="J298" s="276" t="s">
        <v>313</v>
      </c>
      <c r="K298" s="35">
        <f>SUM(K293:K297)</f>
        <v>0</v>
      </c>
      <c r="L298" s="70"/>
    </row>
    <row r="299" spans="2:12">
      <c r="L299" s="70"/>
    </row>
    <row r="300" spans="2:12" ht="13">
      <c r="B300" s="217" t="s">
        <v>53</v>
      </c>
      <c r="C300" s="217"/>
      <c r="D300" s="217"/>
      <c r="E300" s="217"/>
      <c r="F300" s="217"/>
      <c r="G300" s="217"/>
      <c r="H300" s="217"/>
      <c r="I300" s="217"/>
      <c r="J300" s="217"/>
      <c r="K300" s="217"/>
      <c r="L300" s="217"/>
    </row>
    <row r="301" spans="2:12" ht="13">
      <c r="B301" s="261" t="s">
        <v>23</v>
      </c>
      <c r="C301" s="262" t="s">
        <v>322</v>
      </c>
      <c r="D301" s="262" t="s">
        <v>1328</v>
      </c>
      <c r="E301" s="264" t="s">
        <v>323</v>
      </c>
      <c r="F301" s="264"/>
      <c r="G301" s="263" t="s">
        <v>50</v>
      </c>
      <c r="H301" s="263" t="s">
        <v>73</v>
      </c>
      <c r="I301" s="263" t="s">
        <v>74</v>
      </c>
      <c r="J301" s="263" t="s">
        <v>75</v>
      </c>
      <c r="K301" s="263" t="s">
        <v>76</v>
      </c>
      <c r="L301" s="70"/>
    </row>
    <row r="302" spans="2:12" ht="13">
      <c r="B302" s="14" t="s">
        <v>324</v>
      </c>
      <c r="D302" s="310"/>
      <c r="E302" s="280" t="str">
        <f>C13</f>
        <v>Select make and model</v>
      </c>
      <c r="F302" s="264"/>
      <c r="L302" s="70"/>
    </row>
    <row r="303" spans="2:12" ht="13.5" thickBot="1">
      <c r="B303" s="37" t="str" cm="1">
        <f t="array" ref="B303:B308">TRANSPOSE(Panels_headers)</f>
        <v>Mass</v>
      </c>
      <c r="C303" s="60">
        <f>SUM(C304:C308)</f>
        <v>0</v>
      </c>
      <c r="D303" s="61">
        <f>IF($C$13=Panels!$B$6,0,INDEX(Panels_values,MATCH($C$13,Panels_models,0),MATCH($B303,Panels_headers,0)))*$C$14</f>
        <v>0</v>
      </c>
      <c r="F303" s="264"/>
      <c r="L303" s="70"/>
    </row>
    <row r="304" spans="2:12" ht="13.5" thickTop="1">
      <c r="B304" s="37" t="str">
        <v>Glass</v>
      </c>
      <c r="C304" s="60">
        <f>IF($C$13=Panels!$B$6,0,INDEX(Panels_values,MATCH($E$72,Panels_models,0),MATCH($B304,Panels_headers,0)))</f>
        <v>0</v>
      </c>
      <c r="D304" s="311">
        <f>C304*D$303</f>
        <v>0</v>
      </c>
      <c r="E304" s="70"/>
      <c r="G304" s="47">
        <f>Scrap_glass_rate</f>
        <v>0</v>
      </c>
      <c r="H304" s="85"/>
      <c r="I304" s="48">
        <f>IF(H304="",G304,H304)</f>
        <v>0</v>
      </c>
      <c r="J304" s="238" t="s">
        <v>325</v>
      </c>
      <c r="K304" s="45">
        <f>D304*I304</f>
        <v>0</v>
      </c>
      <c r="L304" s="70"/>
    </row>
    <row r="305" spans="2:12" ht="13">
      <c r="B305" s="37" t="str">
        <v>Aluminium</v>
      </c>
      <c r="C305" s="60">
        <f>IF($C$13=Panels!$B$6,0,INDEX(Panels_values,MATCH($E$72,Panels_models,0),MATCH($B305,Panels_headers,0)))</f>
        <v>0</v>
      </c>
      <c r="D305" s="311">
        <f t="shared" ref="D305:D308" si="20">C305*D$303</f>
        <v>0</v>
      </c>
      <c r="E305" s="70"/>
      <c r="G305" s="47">
        <f>Scrap_aluminium_and_alloy_rate</f>
        <v>2.5</v>
      </c>
      <c r="H305" s="85"/>
      <c r="I305" s="48">
        <f>IF(H305="",G305,H305)</f>
        <v>2.5</v>
      </c>
      <c r="J305" s="238" t="s">
        <v>325</v>
      </c>
      <c r="K305" s="45">
        <f>D305*I305</f>
        <v>0</v>
      </c>
      <c r="L305" s="70"/>
    </row>
    <row r="306" spans="2:12" ht="13">
      <c r="B306" s="37" t="str">
        <v>Copper</v>
      </c>
      <c r="C306" s="60">
        <f>IF($C$13=Panels!$B$6,0,INDEX(Panels_values,MATCH($E$72,Panels_models,0),MATCH($B306,Panels_headers,0)))</f>
        <v>0</v>
      </c>
      <c r="D306" s="311">
        <f>C306*D$303</f>
        <v>0</v>
      </c>
      <c r="E306" s="70"/>
      <c r="G306" s="47">
        <f>Scrap_copper_and_alloy_rate</f>
        <v>5</v>
      </c>
      <c r="H306" s="85"/>
      <c r="I306" s="48">
        <f>IF(H306="",G306,H306)</f>
        <v>5</v>
      </c>
      <c r="J306" s="238" t="s">
        <v>325</v>
      </c>
      <c r="K306" s="45">
        <f>D306*I306</f>
        <v>0</v>
      </c>
      <c r="L306" s="70"/>
    </row>
    <row r="307" spans="2:12" ht="13">
      <c r="B307" s="37" t="str">
        <v>Silver</v>
      </c>
      <c r="C307" s="60">
        <f>IF($C$13=Panels!$B$6,0,INDEX(Panels_values,MATCH($E$72,Panels_models,0),MATCH($B307,Panels_headers,0)))</f>
        <v>0</v>
      </c>
      <c r="D307" s="311">
        <f t="shared" si="20"/>
        <v>0</v>
      </c>
      <c r="E307" s="70"/>
      <c r="G307" s="47">
        <f>Scrap_silver_rate</f>
        <v>1200</v>
      </c>
      <c r="H307" s="85"/>
      <c r="I307" s="48">
        <f>IF(H307="",G307,H307)</f>
        <v>1200</v>
      </c>
      <c r="J307" s="238" t="s">
        <v>325</v>
      </c>
      <c r="K307" s="45">
        <f>D307*I307</f>
        <v>0</v>
      </c>
      <c r="L307" s="70"/>
    </row>
    <row r="308" spans="2:12" ht="13">
      <c r="B308" s="37" t="str">
        <v>Other (non-recylable)</v>
      </c>
      <c r="C308" s="60">
        <f>IF($C$13=Panels!$B$6,0,INDEX(Panels_values,MATCH($E$72,Panels_models,0),MATCH($B308,Panels_headers,0)))</f>
        <v>0</v>
      </c>
      <c r="D308" s="311">
        <f t="shared" si="20"/>
        <v>0</v>
      </c>
      <c r="E308" s="70"/>
      <c r="G308" s="86"/>
      <c r="H308" s="85"/>
      <c r="I308" s="48">
        <f t="shared" ref="I308" si="21">IF(H308="",G308,H308)</f>
        <v>0</v>
      </c>
      <c r="J308" s="238" t="s">
        <v>325</v>
      </c>
      <c r="K308" s="45">
        <f>D308*I308</f>
        <v>0</v>
      </c>
      <c r="L308" s="73"/>
    </row>
    <row r="309" spans="2:12">
      <c r="D309" s="306"/>
      <c r="L309" s="73"/>
    </row>
    <row r="310" spans="2:12" ht="13">
      <c r="D310" s="306"/>
      <c r="H310" s="265" t="s">
        <v>326</v>
      </c>
      <c r="I310" s="48">
        <f>IF($C$14=0,0,K310/$C$14)</f>
        <v>0</v>
      </c>
      <c r="J310" s="266" t="s">
        <v>142</v>
      </c>
      <c r="K310" s="35">
        <f>SUM(K301:K309)</f>
        <v>0</v>
      </c>
      <c r="L310" s="73"/>
    </row>
    <row r="311" spans="2:12">
      <c r="D311" s="306"/>
      <c r="L311" s="73"/>
    </row>
    <row r="312" spans="2:12" ht="26">
      <c r="B312" s="261" t="s">
        <v>327</v>
      </c>
      <c r="C312" s="263" t="s">
        <v>328</v>
      </c>
      <c r="D312" s="312" t="s">
        <v>1327</v>
      </c>
      <c r="E312" s="264" t="s">
        <v>323</v>
      </c>
      <c r="F312" s="264"/>
      <c r="G312" s="263" t="s">
        <v>50</v>
      </c>
      <c r="H312" s="263" t="s">
        <v>73</v>
      </c>
      <c r="I312" s="263" t="s">
        <v>74</v>
      </c>
      <c r="J312" s="263" t="s">
        <v>75</v>
      </c>
      <c r="K312" s="263" t="s">
        <v>76</v>
      </c>
      <c r="L312" s="73"/>
    </row>
    <row r="313" spans="2:12" ht="13.5" thickBot="1">
      <c r="B313" s="37" t="s">
        <v>330</v>
      </c>
      <c r="C313" s="62">
        <f>Assumptions!E123</f>
        <v>0.03</v>
      </c>
      <c r="D313" s="311">
        <f>C313*$C$14</f>
        <v>0</v>
      </c>
      <c r="E313" s="280" t="str">
        <f>C13</f>
        <v>Select make and model</v>
      </c>
      <c r="F313" s="264"/>
      <c r="G313" s="47">
        <f>Scrap_steel_rate*kilograms_in_tonnes</f>
        <v>200</v>
      </c>
      <c r="H313" s="72"/>
      <c r="I313" s="48">
        <f>IF(H313="",G313,H313)</f>
        <v>200</v>
      </c>
      <c r="J313" s="238" t="s">
        <v>243</v>
      </c>
      <c r="K313" s="45">
        <f>D313*I313</f>
        <v>0</v>
      </c>
      <c r="L313" s="73"/>
    </row>
    <row r="314" spans="2:12" ht="13" thickTop="1">
      <c r="C314" s="248"/>
      <c r="D314" s="248"/>
      <c r="L314" s="73"/>
    </row>
    <row r="315" spans="2:12" ht="13">
      <c r="H315" s="265" t="s">
        <v>331</v>
      </c>
      <c r="I315" s="48">
        <f>IF($C$14=0,0,K315/$C$14)</f>
        <v>0</v>
      </c>
      <c r="J315" s="266" t="s">
        <v>142</v>
      </c>
      <c r="K315" s="35">
        <f>SUM(K312:K314)</f>
        <v>0</v>
      </c>
      <c r="L315" s="73"/>
    </row>
    <row r="316" spans="2:12" ht="13">
      <c r="H316" s="265"/>
      <c r="I316" s="63"/>
      <c r="L316" s="73"/>
    </row>
    <row r="317" spans="2:12" ht="13">
      <c r="B317" s="261" t="s">
        <v>332</v>
      </c>
      <c r="C317" s="263" t="s">
        <v>1106</v>
      </c>
      <c r="D317" s="262" t="s">
        <v>1327</v>
      </c>
      <c r="E317" s="264" t="s">
        <v>323</v>
      </c>
      <c r="F317" s="264"/>
      <c r="G317" s="263" t="s">
        <v>50</v>
      </c>
      <c r="H317" s="263" t="s">
        <v>73</v>
      </c>
      <c r="I317" s="263" t="s">
        <v>74</v>
      </c>
      <c r="J317" s="263" t="s">
        <v>75</v>
      </c>
      <c r="K317" s="263" t="s">
        <v>76</v>
      </c>
      <c r="L317" s="73"/>
    </row>
    <row r="318" spans="2:12" ht="13">
      <c r="B318" s="14" t="s">
        <v>52</v>
      </c>
      <c r="C318" s="313">
        <f>SUM(C319:C328)</f>
        <v>0</v>
      </c>
      <c r="D318" s="313">
        <f>SUM(D319:D328)</f>
        <v>0</v>
      </c>
      <c r="F318" s="264"/>
      <c r="L318" s="73"/>
    </row>
    <row r="319" spans="2:12" ht="13">
      <c r="B319" s="64" t="str">
        <f>'Cost Schedule'!B62</f>
        <v>DC Cable - Stringers</v>
      </c>
      <c r="C319" s="65">
        <f t="shared" ref="C319:C324" si="22">C27</f>
        <v>0</v>
      </c>
      <c r="D319" s="313">
        <f>C319*_xlfn.XLOOKUP(E319,Assumptions!$B$27:$B$56,Assumptions!$E$27:$E$56)</f>
        <v>0</v>
      </c>
      <c r="E319" s="294" t="str">
        <f t="shared" ref="E319:E324" si="23">E27</f>
        <v>DC Cables - string - specific weight - 4mm2</v>
      </c>
      <c r="F319" s="77" t="s">
        <v>828</v>
      </c>
      <c r="G319" s="38">
        <f>IF(F319=Aluminium,Scrap_aluminium_and_alloy_rate,Scrap_copper_and_alloy_rate)*kilograms_in_tonnes</f>
        <v>5000</v>
      </c>
      <c r="H319" s="72"/>
      <c r="I319" s="48">
        <f t="shared" ref="I319:I324" si="24">IF(H319="",G319,H319)</f>
        <v>5000</v>
      </c>
      <c r="K319" s="45">
        <f>D319*I319</f>
        <v>0</v>
      </c>
      <c r="L319" s="73"/>
    </row>
    <row r="320" spans="2:12" ht="13">
      <c r="B320" s="64" t="str">
        <f>'Cost Schedule'!B63</f>
        <v>DC Cable - Feeders - above ground</v>
      </c>
      <c r="C320" s="65">
        <f t="shared" si="22"/>
        <v>0</v>
      </c>
      <c r="D320" s="313">
        <f>C320*_xlfn.XLOOKUP(E320,Assumptions!$B$27:$B$56,Assumptions!$E$27:$E$56)</f>
        <v>0</v>
      </c>
      <c r="E320" s="294" t="str">
        <f t="shared" si="23"/>
        <v>DC Cables - feeder - specific weight - single core 16mm2</v>
      </c>
      <c r="F320" s="77" t="s">
        <v>828</v>
      </c>
      <c r="G320" s="38">
        <f t="shared" ref="G320:G328" si="25">IF(F320=Aluminium,Scrap_aluminium_and_alloy_rate,Scrap_copper_and_alloy_rate)*kilograms_in_tonnes</f>
        <v>5000</v>
      </c>
      <c r="H320" s="72"/>
      <c r="I320" s="48">
        <f t="shared" si="24"/>
        <v>5000</v>
      </c>
      <c r="K320" s="45">
        <f t="shared" ref="K320:K323" si="26">D320*I320</f>
        <v>0</v>
      </c>
      <c r="L320" s="73"/>
    </row>
    <row r="321" spans="2:12" ht="13">
      <c r="B321" s="64" t="str">
        <f>'Cost Schedule'!B64</f>
        <v>DC Cable - Feeders - below ground</v>
      </c>
      <c r="C321" s="65">
        <f t="shared" si="22"/>
        <v>0</v>
      </c>
      <c r="D321" s="313">
        <f>C321*_xlfn.XLOOKUP(E321,Assumptions!$B$27:$B$56,Assumptions!$E$27:$E$56)</f>
        <v>0</v>
      </c>
      <c r="E321" s="294" t="str">
        <f t="shared" si="23"/>
        <v>DC Cables - feeder - specific weight - single core 25mm2</v>
      </c>
      <c r="F321" s="77" t="s">
        <v>828</v>
      </c>
      <c r="G321" s="38">
        <f t="shared" si="25"/>
        <v>5000</v>
      </c>
      <c r="H321" s="72"/>
      <c r="I321" s="48">
        <f t="shared" si="24"/>
        <v>5000</v>
      </c>
      <c r="K321" s="45">
        <f t="shared" si="26"/>
        <v>0</v>
      </c>
      <c r="L321" s="73"/>
    </row>
    <row r="322" spans="2:12" ht="13">
      <c r="B322" s="64" t="str">
        <f>'Cost Schedule'!B65</f>
        <v>AC Low Voltage Cable</v>
      </c>
      <c r="C322" s="65">
        <f t="shared" si="22"/>
        <v>0</v>
      </c>
      <c r="D322" s="313">
        <f>C322*_xlfn.XLOOKUP(E322,Assumptions!$B$27:$B$56,Assumptions!$E$27:$E$56)</f>
        <v>0</v>
      </c>
      <c r="E322" s="294" t="str">
        <f t="shared" si="23"/>
        <v>AC Cables - low voltage - specific weight</v>
      </c>
      <c r="F322" s="77" t="s">
        <v>828</v>
      </c>
      <c r="G322" s="38">
        <f t="shared" si="25"/>
        <v>5000</v>
      </c>
      <c r="H322" s="72"/>
      <c r="I322" s="48">
        <f t="shared" si="24"/>
        <v>5000</v>
      </c>
      <c r="K322" s="45">
        <f t="shared" si="26"/>
        <v>0</v>
      </c>
      <c r="L322" s="73"/>
    </row>
    <row r="323" spans="2:12" ht="13">
      <c r="B323" s="64" t="str">
        <f>'Cost Schedule'!B66</f>
        <v>AC medium Voltage Cable</v>
      </c>
      <c r="C323" s="65">
        <f t="shared" si="22"/>
        <v>0</v>
      </c>
      <c r="D323" s="313">
        <f>C323*_xlfn.XLOOKUP(E323,Assumptions!$B$27:$B$56,Assumptions!$E$27:$E$56)</f>
        <v>0</v>
      </c>
      <c r="E323" s="294" t="str">
        <f t="shared" si="23"/>
        <v>AC Cables - medium voltage - specific weight</v>
      </c>
      <c r="F323" s="77" t="s">
        <v>827</v>
      </c>
      <c r="G323" s="38">
        <f t="shared" si="25"/>
        <v>2500</v>
      </c>
      <c r="H323" s="72"/>
      <c r="I323" s="48">
        <f t="shared" si="24"/>
        <v>2500</v>
      </c>
      <c r="K323" s="45">
        <f t="shared" si="26"/>
        <v>0</v>
      </c>
      <c r="L323" s="73"/>
    </row>
    <row r="324" spans="2:12" ht="13">
      <c r="B324" s="64" t="str">
        <f>'Cost Schedule'!B67</f>
        <v>Fibre / Control Cable</v>
      </c>
      <c r="C324" s="65">
        <f t="shared" si="22"/>
        <v>0</v>
      </c>
      <c r="D324" s="313">
        <f>C324*_xlfn.XLOOKUP(E324,Assumptions!$B$27:$B$56,Assumptions!$E$27:$E$56)</f>
        <v>0</v>
      </c>
      <c r="E324" s="294" t="str">
        <f t="shared" si="23"/>
        <v>Fibre/Control Cable - 0.75mm2</v>
      </c>
      <c r="F324" s="77" t="s">
        <v>828</v>
      </c>
      <c r="G324" s="38">
        <f t="shared" si="25"/>
        <v>5000</v>
      </c>
      <c r="H324" s="72"/>
      <c r="I324" s="48">
        <f t="shared" si="24"/>
        <v>5000</v>
      </c>
      <c r="K324" s="45">
        <f>D324*I324</f>
        <v>0</v>
      </c>
      <c r="L324" s="73"/>
    </row>
    <row r="325" spans="2:12" ht="13">
      <c r="B325" s="81" t="s">
        <v>1345</v>
      </c>
      <c r="C325" s="87"/>
      <c r="D325" s="87"/>
      <c r="E325" s="77"/>
      <c r="F325" s="77" t="s">
        <v>828</v>
      </c>
      <c r="G325" s="38">
        <f t="shared" si="25"/>
        <v>5000</v>
      </c>
      <c r="H325" s="72"/>
      <c r="I325" s="48">
        <f t="shared" ref="I325:I326" si="27">IF(H325="",G325,H325)</f>
        <v>5000</v>
      </c>
      <c r="K325" s="45">
        <f t="shared" ref="K325:K326" si="28">D325*I325</f>
        <v>0</v>
      </c>
      <c r="L325" s="73"/>
    </row>
    <row r="326" spans="2:12" ht="13">
      <c r="B326" s="81" t="s">
        <v>1345</v>
      </c>
      <c r="C326" s="87"/>
      <c r="D326" s="87"/>
      <c r="E326" s="77"/>
      <c r="F326" s="77" t="s">
        <v>827</v>
      </c>
      <c r="G326" s="38">
        <f t="shared" si="25"/>
        <v>2500</v>
      </c>
      <c r="H326" s="72"/>
      <c r="I326" s="48">
        <f t="shared" si="27"/>
        <v>2500</v>
      </c>
      <c r="K326" s="45">
        <f t="shared" si="28"/>
        <v>0</v>
      </c>
      <c r="L326" s="73"/>
    </row>
    <row r="327" spans="2:12" ht="13">
      <c r="B327" s="81" t="s">
        <v>1345</v>
      </c>
      <c r="C327" s="87"/>
      <c r="D327" s="87"/>
      <c r="E327" s="77"/>
      <c r="F327" s="77" t="s">
        <v>828</v>
      </c>
      <c r="G327" s="38">
        <f t="shared" si="25"/>
        <v>5000</v>
      </c>
      <c r="H327" s="72"/>
      <c r="I327" s="48">
        <f t="shared" ref="I327:I328" si="29">IF(H327="",G327,H327)</f>
        <v>5000</v>
      </c>
      <c r="K327" s="45">
        <f t="shared" ref="K327:K328" si="30">D327*I327</f>
        <v>0</v>
      </c>
      <c r="L327" s="73"/>
    </row>
    <row r="328" spans="2:12" ht="13">
      <c r="B328" s="81" t="s">
        <v>1345</v>
      </c>
      <c r="C328" s="87"/>
      <c r="D328" s="87"/>
      <c r="E328" s="77"/>
      <c r="F328" s="77" t="s">
        <v>827</v>
      </c>
      <c r="G328" s="38">
        <f t="shared" si="25"/>
        <v>2500</v>
      </c>
      <c r="H328" s="72"/>
      <c r="I328" s="48">
        <f t="shared" si="29"/>
        <v>2500</v>
      </c>
      <c r="K328" s="45">
        <f t="shared" si="30"/>
        <v>0</v>
      </c>
      <c r="L328" s="73"/>
    </row>
    <row r="329" spans="2:12">
      <c r="L329" s="73"/>
    </row>
    <row r="330" spans="2:12" ht="13">
      <c r="H330" s="265" t="s">
        <v>333</v>
      </c>
      <c r="I330" s="66">
        <f>IF($C$14=0,0,K330/$C$14)</f>
        <v>0</v>
      </c>
      <c r="J330" s="266" t="s">
        <v>142</v>
      </c>
      <c r="K330" s="35">
        <f>SUM(K317:K329)</f>
        <v>0</v>
      </c>
      <c r="L330" s="73"/>
    </row>
  </sheetData>
  <sheetProtection algorithmName="SHA-512" hashValue="IJJR+s7MCmdzFhHb7ob5MLEyMwvArJEPuYpCSgpHfNVFg+tvZQhiJ+t6uVRALRA3HK8sJ8zxrvFcK4anJXj9Yg==" saltValue="yEDcDG80h5gkEcl66cP/6w==" spinCount="100000" sheet="1" objects="1" scenarios="1" autoFilter="0"/>
  <phoneticPr fontId="8" type="noConversion"/>
  <dataValidations count="42">
    <dataValidation type="list" allowBlank="1" showInputMessage="1" showErrorMessage="1" sqref="E160 E176 E257" xr:uid="{FCD5EA49-5978-4C42-967E-6504CE285C3F}">
      <formula1>Load_haul_dump_soil_ameliorants_from_off_site_names_UR</formula1>
    </dataValidation>
    <dataValidation type="list" allowBlank="1" showInputMessage="1" showErrorMessage="1" sqref="E200 E239 E249 E210 E259" xr:uid="{6CAB600D-9093-4849-B579-90E609E68E2D}">
      <formula1>Waste_levy_names</formula1>
    </dataValidation>
    <dataValidation type="list" allowBlank="1" showInputMessage="1" showErrorMessage="1" sqref="E248 E238 E258" xr:uid="{9A7C0412-A15C-4FC3-954A-2169A551C149}">
      <formula1>Disposal_gate_fee_names</formula1>
    </dataValidation>
    <dataValidation type="list" allowBlank="1" showInputMessage="1" showErrorMessage="1" sqref="E175" xr:uid="{FA87711A-7596-473A-A08A-7A6C5DE501C7}">
      <formula1>Ameliorants_names</formula1>
    </dataValidation>
    <dataValidation type="list" allowBlank="1" showInputMessage="1" showErrorMessage="1" sqref="E131 E141" xr:uid="{65067AF4-D579-41E8-A27A-D4E218521592}">
      <formula1>Buildings_by_area_names_UR</formula1>
    </dataValidation>
    <dataValidation type="list" allowBlank="1" showInputMessage="1" showErrorMessage="1" sqref="E82:E99" xr:uid="{126A9E85-F60A-4467-8787-1E9CA1BA55DA}">
      <formula1>Roads_tracks_laydown_list_UR</formula1>
    </dataValidation>
    <dataValidation type="list" allowBlank="1" showInputMessage="1" showErrorMessage="1" sqref="E158" xr:uid="{321611CC-6445-4B7C-8344-35CEE32E7760}">
      <formula1>Load_haul_dump_growth_media_onsite_names_UR</formula1>
    </dataValidation>
    <dataValidation type="list" allowBlank="1" showInputMessage="1" showErrorMessage="1" sqref="E136:E140" xr:uid="{1F0EA9A8-A055-4D74-98C1-BC8A39D6EF1C}">
      <formula1>Buildings_by_number_names_UR</formula1>
    </dataValidation>
    <dataValidation type="list" allowBlank="1" showInputMessage="1" showErrorMessage="1" sqref="E190" xr:uid="{F1EECFCA-F848-43AA-A22B-AA80D97B1E30}">
      <formula1>Revegetation_names_UR</formula1>
    </dataValidation>
    <dataValidation type="list" allowBlank="1" showInputMessage="1" showErrorMessage="1" sqref="E73 E198 E208" xr:uid="{F650A05F-1C5E-45A0-A1A0-30C16586328D}">
      <formula1>Panels_haul_unload_names_UR</formula1>
    </dataValidation>
    <dataValidation type="list" allowBlank="1" showInputMessage="1" showErrorMessage="1" sqref="E247" xr:uid="{BC6B4F8F-3094-4D30-ADBE-B374D98EB940}">
      <formula1>Long_haul_names_steel_UR</formula1>
    </dataValidation>
    <dataValidation type="list" allowBlank="1" showInputMessage="1" showErrorMessage="1" sqref="E237" xr:uid="{ADA7E985-C6F1-488E-AEF9-21E2F0ECA374}">
      <formula1>Long_haul_names_concrete_UR</formula1>
    </dataValidation>
    <dataValidation type="list" allowBlank="1" showInputMessage="1" showErrorMessage="1" sqref="E34:E36" xr:uid="{BA79BA65-804A-4BD1-BD1F-0E991311DD3C}">
      <formula1>Cable_drums_haul_unload_names_UR</formula1>
    </dataValidation>
    <dataValidation type="list" allowBlank="1" showInputMessage="1" showErrorMessage="1" sqref="E33" xr:uid="{9798842F-160D-488D-AA4F-966EFA4D5863}">
      <formula1>Copper_cables_haul_unload_names_UR</formula1>
    </dataValidation>
    <dataValidation type="list" allowBlank="1" showInputMessage="1" showErrorMessage="1" sqref="E265" xr:uid="{CB6A896B-44F9-475E-9C4C-292A1E85C996}">
      <formula1>Mobe_names_solar_CS</formula1>
    </dataValidation>
    <dataValidation type="list" allowBlank="1" showInputMessage="1" showErrorMessage="1" sqref="E266" xr:uid="{456A149E-4977-4A96-82CE-DA27DC334DC0}">
      <formula1>Mobe_names_electrical_CS</formula1>
    </dataValidation>
    <dataValidation type="list" allowBlank="1" showInputMessage="1" showErrorMessage="1" sqref="E267" xr:uid="{0D526688-25AC-4F83-ADE5-056D85D6A3D5}">
      <formula1>Mobe_names_land_CS</formula1>
    </dataValidation>
    <dataValidation type="list" allowBlank="1" showInputMessage="1" showErrorMessage="1" sqref="F319:F328" xr:uid="{2907DFF9-1078-4A1D-9ECB-43424BCC1E74}">
      <formula1>Electrical_cable_material</formula1>
    </dataValidation>
    <dataValidation type="custom" operator="equal" allowBlank="1" showInputMessage="1" showErrorMessage="1" error="Please enter a numeric value. " sqref="C14" xr:uid="{7984783F-6A20-46A9-9E4F-1E0C742F70E0}">
      <formula1>ISNUMBER(C14)</formula1>
    </dataValidation>
    <dataValidation type="custom" allowBlank="1" showInputMessage="1" showErrorMessage="1" error="Please enter a numeric value." sqref="C11:C12 H48:H49 H65:H66 H119:H120 H226:H228" xr:uid="{686ADD8C-11DA-4757-A81D-3F8B39FE303E}">
      <formula1>ISNUMBER(C11:C12)</formula1>
    </dataValidation>
    <dataValidation type="custom" allowBlank="1" showInputMessage="1" showErrorMessage="1" error="Please enter a numeric value. " sqref="C18:C21" xr:uid="{B07EF838-3550-4138-AF02-83FD3D0310C1}">
      <formula1>ISNUMBER(C18:C21)</formula1>
    </dataValidation>
    <dataValidation type="custom" allowBlank="1" showInputMessage="1" showErrorMessage="1" error="Please enter a numeric value. " sqref="C27:C32 C283:C288" xr:uid="{600825F9-873E-4421-A32D-A3CB26D8E10E}">
      <formula1>ISNUMBER(C27:C32)</formula1>
    </dataValidation>
    <dataValidation type="custom" allowBlank="1" showInputMessage="1" showErrorMessage="1" error="Please enter a numeric value. " sqref="C42 C72 C255 C196 C235 C245 C206" xr:uid="{B7B819BF-FD53-42A5-953A-154F0B06214C}">
      <formula1>ISNUMBER(C42)</formula1>
    </dataValidation>
    <dataValidation type="custom" allowBlank="1" showInputMessage="1" showErrorMessage="1" error="Please enter a numeric value. " sqref="C48:C49 C65:C66 C119:C120" xr:uid="{A447DF9E-33B3-492E-814C-BB49903053C4}">
      <formula1>ISNUMBER(C48:C49)</formula1>
    </dataValidation>
    <dataValidation type="custom" allowBlank="1" showInputMessage="1" showErrorMessage="1" error="Please enter a numeric value. " sqref="C55:C59 C126:C130 C136:C140 C273:C277" xr:uid="{625A690E-4D24-47C6-B890-DB05D22F974E}">
      <formula1>ISNUMBER(C55:C59)</formula1>
    </dataValidation>
    <dataValidation type="custom" allowBlank="1" showInputMessage="1" showErrorMessage="1" error="Please enter a numeric value. " sqref="C82:C99" xr:uid="{F31F88A3-A36D-4924-8780-3E31B76ADFD3}">
      <formula1>ISNUMBER(C82:C99)</formula1>
    </dataValidation>
    <dataValidation type="custom" allowBlank="1" showInputMessage="1" showErrorMessage="1" error="Please enter a numeric value. " sqref="C105:C113 C216:C217" xr:uid="{55A43975-7A33-4559-A779-9963FDD16F9A}">
      <formula1>ISNUMBER(C105:C113)</formula1>
    </dataValidation>
    <dataValidation type="custom" allowBlank="1" showInputMessage="1" showErrorMessage="1" error="Please enter a numeric value. " sqref="C146:C157" xr:uid="{A5342D43-95D8-433A-81E4-C19D98C0BBF3}">
      <formula1>ISNUMBER(C146:C157)</formula1>
    </dataValidation>
    <dataValidation type="custom" allowBlank="1" showInputMessage="1" showErrorMessage="1" error="Please enter a numeric value. " sqref="C183:C189 C166:C172" xr:uid="{7B5CBCD4-31AD-4863-AF1A-673F5E8F6A47}">
      <formula1>ISNUMBER(C166:C172)</formula1>
    </dataValidation>
    <dataValidation type="custom" allowBlank="1" showInputMessage="1" showErrorMessage="1" error="Please enter a numeric value. " sqref="C265:C267" xr:uid="{005E9FF8-46EE-4159-8FEF-5F06922F9319}">
      <formula1>ISNUMBER(C265:C267)</formula1>
    </dataValidation>
    <dataValidation type="decimal" allowBlank="1" showInputMessage="1" showErrorMessage="1" error="Please enter a valid percentage." sqref="D294:D296" xr:uid="{31419599-7158-4E7B-8E58-12200227E657}">
      <formula1>0</formula1>
      <formula2>100</formula2>
    </dataValidation>
    <dataValidation type="custom" allowBlank="1" showInputMessage="1" showErrorMessage="1" error="Please enter a numeric value." sqref="C325:D328" xr:uid="{F5843294-1506-44DA-8BC9-B357E016789E}">
      <formula1>ISNUMBER(C325:D328)</formula1>
    </dataValidation>
    <dataValidation type="custom" allowBlank="1" showInputMessage="1" showErrorMessage="1" error="Please enter a numeric value." sqref="G308 H42 H190 H313" xr:uid="{57869011-EEAD-4844-A29A-CE6864B30BEA}">
      <formula1>ISNUMBER(G42)</formula1>
    </dataValidation>
    <dataValidation type="custom" allowBlank="1" showInputMessage="1" showErrorMessage="1" error="Please enter a numeric value." sqref="H18:H21" xr:uid="{54099608-84EA-4502-B556-397DA55A14DC}">
      <formula1>ISNUMBER(H18:H21)</formula1>
    </dataValidation>
    <dataValidation type="custom" allowBlank="1" showInputMessage="1" showErrorMessage="1" error="Please enter a numeric value." sqref="H27:H36 H319:H328" xr:uid="{ACB2AA8B-C851-4246-8805-4B0D09524F29}">
      <formula1>ISNUMBER(H27:H36)</formula1>
    </dataValidation>
    <dataValidation type="custom" allowBlank="1" showInputMessage="1" showErrorMessage="1" error="Please enter a numeric value." sqref="H55:H59 H72:H76 H126:H130 H136:H140 H273:H277 H304:H308" xr:uid="{919CA5D2-C0EC-43E8-B12D-4BDFF2F0D30C}">
      <formula1>ISNUMBER(H55:H59)</formula1>
    </dataValidation>
    <dataValidation type="custom" allowBlank="1" showInputMessage="1" showErrorMessage="1" error="Please enter a numeric value." sqref="H82:H99" xr:uid="{F1B49CA3-80EE-4F1C-B0CA-2107F96183AD}">
      <formula1>ISNUMBER(H82:H99)</formula1>
    </dataValidation>
    <dataValidation type="custom" allowBlank="1" showInputMessage="1" showErrorMessage="1" error="Please enter a numeric value." sqref="H105:H113" xr:uid="{57FAA760-335F-4DC4-934D-E204A5496022}">
      <formula1>ISNUMBER(H105:H113)</formula1>
    </dataValidation>
    <dataValidation type="custom" allowBlank="1" showInputMessage="1" showErrorMessage="1" error="Please enter a numeric value." sqref="H158:H160 H175:H177 H198:H200 H208:H210 H237:H239 H247:H249 H257:H259 H265:H267 H294:H296" xr:uid="{ABC123E7-D2E7-4A1C-B789-3A93CC217CFE}">
      <formula1>ISNUMBER(H158:H160)</formula1>
    </dataValidation>
    <dataValidation type="custom" allowBlank="1" showInputMessage="1" showErrorMessage="1" error="Please enter a numeric value." sqref="H283:H288" xr:uid="{5D94EC60-7B3E-491D-8B2D-AA8D5A8FF32F}">
      <formula1>ISNUMBER(H283:H288)</formula1>
    </dataValidation>
    <dataValidation type="custom" allowBlank="1" showInputMessage="1" showErrorMessage="1" error="Please enter a numeric value. " sqref="C218:C222" xr:uid="{5EA0743D-328A-406D-9096-C327891B97DA}">
      <formula1>ISNUMBER(C218:C227)</formula1>
    </dataValidation>
    <dataValidation type="custom" allowBlank="1" showInputMessage="1" showErrorMessage="1" error="Please enter a numeric value. " sqref="C223:C224" xr:uid="{49E554F3-7BCA-4E35-84B1-565003ABA0A3}">
      <formula1>ISNUMBER(C223:C233)</formula1>
    </dataValidation>
  </dataValidations>
  <hyperlinks>
    <hyperlink ref="B4" location="Information" display="Return to Information" xr:uid="{884A20FA-9C12-48B5-A29D-FCA8233A6C0D}"/>
    <hyperlink ref="B6" location="Summary_Solar" display="Summary Page" xr:uid="{5D2EDD4F-1293-4137-8C1D-A31F5FBCF75C}"/>
  </hyperlinks>
  <pageMargins left="0.7" right="0.7" top="0.75" bottom="0.75" header="0.3" footer="0.3"/>
  <extLst>
    <ext xmlns:x14="http://schemas.microsoft.com/office/spreadsheetml/2009/9/main" uri="{CCE6A557-97BC-4b89-ADB6-D9C93CAAB3DF}">
      <x14:dataValidations xmlns:xm="http://schemas.microsoft.com/office/excel/2006/main" count="14">
        <x14:dataValidation type="list" allowBlank="1" showInputMessage="1" showErrorMessage="1" xr:uid="{8ACCA6FD-A08B-49A0-A8CA-63AEB679C005}">
          <x14:formula1>
            <xm:f>Lists!$B$164:$B$166</xm:f>
          </x14:formula1>
          <xm:sqref>F105:F113 F119:F120</xm:sqref>
        </x14:dataValidation>
        <x14:dataValidation type="list" allowBlank="1" showInputMessage="1" showErrorMessage="1" xr:uid="{174FE9E5-EFD6-41F7-9456-02AC16D3B4B9}">
          <x14:formula1>
            <xm:f>Lists!$B$33:$B$35</xm:f>
          </x14:formula1>
          <xm:sqref>F82:F99</xm:sqref>
        </x14:dataValidation>
        <x14:dataValidation type="list" allowBlank="1" showInputMessage="1" showErrorMessage="1" xr:uid="{7D6B5B8E-35C6-4835-B3DE-4CCF7970E58E}">
          <x14:formula1>
            <xm:f>'Cost Schedule'!$B$212:$B$214</xm:f>
          </x14:formula1>
          <xm:sqref>E105:E113</xm:sqref>
        </x14:dataValidation>
        <x14:dataValidation type="list" allowBlank="1" showInputMessage="1" showErrorMessage="1" xr:uid="{A7BC3E8B-6B52-4869-B1E2-C7C523FDA838}">
          <x14:formula1>
            <xm:f>Rates!$B$130:$B$131</xm:f>
          </x14:formula1>
          <xm:sqref>E199 E209</xm:sqref>
        </x14:dataValidation>
        <x14:dataValidation type="list" allowBlank="1" showInputMessage="1" showErrorMessage="1" xr:uid="{1E0A2512-AD94-4813-AAC1-743974A15D33}">
          <x14:formula1>
            <xm:f>'Cost Schedule'!$B$6:$B$8</xm:f>
          </x14:formula1>
          <xm:sqref>E119:E120</xm:sqref>
        </x14:dataValidation>
        <x14:dataValidation type="list" allowBlank="1" showInputMessage="1" showErrorMessage="1" xr:uid="{7191D34A-44C9-400E-A22C-E380C2E3020D}">
          <x14:formula1>
            <xm:f>Assumptions!$B$45:$B$49</xm:f>
          </x14:formula1>
          <xm:sqref>E32</xm:sqref>
        </x14:dataValidation>
        <x14:dataValidation type="list" allowBlank="1" showInputMessage="1" showErrorMessage="1" xr:uid="{27B31263-CFD8-43DA-BC04-12927E3E02D4}">
          <x14:formula1>
            <xm:f>Assumptions!$B$33:$B$34</xm:f>
          </x14:formula1>
          <xm:sqref>E27</xm:sqref>
        </x14:dataValidation>
        <x14:dataValidation type="list" allowBlank="1" showInputMessage="1" showErrorMessage="1" xr:uid="{37D71470-CDD2-4547-853F-BDC0545914C8}">
          <x14:formula1>
            <xm:f>Assumptions!$B$35:$B$42</xm:f>
          </x14:formula1>
          <xm:sqref>E28:E29</xm:sqref>
        </x14:dataValidation>
        <x14:dataValidation type="list" allowBlank="1" showInputMessage="1" showErrorMessage="1" xr:uid="{D1742A55-F9FD-4DC8-88F1-87182CFE5E44}">
          <x14:formula1>
            <xm:f>Assumptions!$B$43:$B$44</xm:f>
          </x14:formula1>
          <xm:sqref>E30:E31</xm:sqref>
        </x14:dataValidation>
        <x14:dataValidation type="list" allowBlank="1" showInputMessage="1" showErrorMessage="1" xr:uid="{3E189183-6F14-4716-A36F-4FD27A4F941F}">
          <x14:formula1>
            <xm:f>'Cost Schedule'!$B$30:$B$34</xm:f>
          </x14:formula1>
          <xm:sqref>E126:E130</xm:sqref>
        </x14:dataValidation>
        <x14:dataValidation type="list" allowBlank="1" showInputMessage="1" showErrorMessage="1" xr:uid="{31BD3BC0-9D46-4899-BFA5-287E38366487}">
          <x14:formula1>
            <xm:f>'Cost Schedule'!$B$43:$B$45</xm:f>
          </x14:formula1>
          <xm:sqref>E227</xm:sqref>
        </x14:dataValidation>
        <x14:dataValidation type="list" allowBlank="1" showInputMessage="1" showErrorMessage="1" xr:uid="{07060C22-066C-4CEB-BBC0-FD52C468B280}">
          <x14:formula1>
            <xm:f>'Cost Schedule'!$B$427:$B$429</xm:f>
          </x14:formula1>
          <xm:sqref>E55:E59</xm:sqref>
        </x14:dataValidation>
        <x14:dataValidation type="list" allowBlank="1" showInputMessage="1" showErrorMessage="1" xr:uid="{30B737BE-18DC-4452-BD98-E1B28C639541}">
          <x14:formula1>
            <xm:f>'Cost Schedule'!$B$236:$B$246</xm:f>
          </x14:formula1>
          <xm:sqref>E228 E226</xm:sqref>
        </x14:dataValidation>
        <x14:dataValidation type="list" allowBlank="1" showInputMessage="1" showErrorMessage="1" xr:uid="{76120F64-F0CA-4058-A2B8-CB42EB4035A0}">
          <x14:formula1>
            <xm:f>Panels!$B$6:$B$11</xm:f>
          </x14:formula1>
          <xm:sqref>C13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F66B9A-2E35-46A1-814C-9989EC0430CE}">
  <sheetPr codeName="Sheet6">
    <tabColor theme="9"/>
  </sheetPr>
  <dimension ref="A2:L363"/>
  <sheetViews>
    <sheetView zoomScale="85" zoomScaleNormal="85" workbookViewId="0">
      <pane xSplit="4" ySplit="8" topLeftCell="E9" activePane="bottomRight" state="frozen"/>
      <selection pane="topRight" activeCell="E1" sqref="E1"/>
      <selection pane="bottomLeft" activeCell="A10" sqref="A10"/>
      <selection pane="bottomRight"/>
    </sheetView>
  </sheetViews>
  <sheetFormatPr defaultColWidth="9.1796875" defaultRowHeight="12.5"/>
  <cols>
    <col min="1" max="1" width="1.81640625" style="257" customWidth="1"/>
    <col min="2" max="2" width="42.54296875" style="257" customWidth="1"/>
    <col min="3" max="3" width="13.1796875" style="257" customWidth="1"/>
    <col min="4" max="4" width="15" style="257" customWidth="1"/>
    <col min="5" max="5" width="62.1796875" style="257" customWidth="1"/>
    <col min="6" max="6" width="14.81640625" style="257" customWidth="1"/>
    <col min="7" max="7" width="13.54296875" style="257" customWidth="1"/>
    <col min="8" max="8" width="12.54296875" style="257" customWidth="1"/>
    <col min="9" max="9" width="14.7265625" style="257" customWidth="1"/>
    <col min="10" max="10" width="14.81640625" style="257" customWidth="1"/>
    <col min="11" max="11" width="15.1796875" style="257" customWidth="1"/>
    <col min="12" max="12" width="55.26953125" style="257" customWidth="1"/>
    <col min="13" max="16384" width="9.1796875" style="257"/>
  </cols>
  <sheetData>
    <row r="2" spans="1:12" ht="16.5" customHeight="1">
      <c r="B2" s="296" t="str">
        <f>Project_Name</f>
        <v xml:space="preserve">South Australia Hydrogen and Renewable Energy Restoration Cost Estimation Tool </v>
      </c>
      <c r="J2" s="302" t="s">
        <v>56</v>
      </c>
      <c r="K2" s="35">
        <f>SUM(K24,K38,K44,K50,K61,K68,K79,K94,K107,K121,K136,K159,K174,K181,K191,K201,K221,K238,K251,K265,K276,K286,K296,K304,K315,K335,K327)</f>
        <v>0</v>
      </c>
    </row>
    <row r="3" spans="1:12" ht="3" customHeight="1">
      <c r="J3" s="302"/>
      <c r="K3" s="238"/>
    </row>
    <row r="4" spans="1:12" ht="16.5" customHeight="1">
      <c r="B4" s="36" t="s">
        <v>31</v>
      </c>
      <c r="J4" s="302" t="s">
        <v>57</v>
      </c>
      <c r="K4" s="35">
        <f>K349+K363</f>
        <v>0</v>
      </c>
    </row>
    <row r="5" spans="1:12" ht="3.65" customHeight="1">
      <c r="J5" s="302"/>
      <c r="K5" s="238"/>
    </row>
    <row r="6" spans="1:12" ht="17.25" customHeight="1">
      <c r="B6" s="36" t="s">
        <v>1280</v>
      </c>
      <c r="J6" s="302" t="s">
        <v>58</v>
      </c>
      <c r="K6" s="35">
        <f>K2-K4</f>
        <v>0</v>
      </c>
    </row>
    <row r="7" spans="1:12" ht="3.65" customHeight="1"/>
    <row r="8" spans="1:12" ht="17.25" customHeight="1">
      <c r="A8" s="238"/>
      <c r="B8" s="216" t="s">
        <v>13</v>
      </c>
      <c r="C8" s="216"/>
      <c r="D8" s="216"/>
      <c r="E8" s="216"/>
      <c r="F8" s="216"/>
      <c r="G8" s="216"/>
      <c r="H8" s="216"/>
      <c r="I8" s="216"/>
      <c r="J8" s="216"/>
      <c r="K8" s="216"/>
      <c r="L8" s="216" t="s">
        <v>59</v>
      </c>
    </row>
    <row r="9" spans="1:12" ht="13">
      <c r="B9" s="2"/>
      <c r="C9" s="297"/>
      <c r="D9" s="297"/>
      <c r="G9" s="297"/>
      <c r="H9" s="297"/>
      <c r="I9" s="297"/>
      <c r="J9" s="297"/>
      <c r="K9" s="297"/>
      <c r="L9" s="297"/>
    </row>
    <row r="10" spans="1:12" ht="13">
      <c r="A10" s="238"/>
      <c r="B10" s="217" t="s">
        <v>60</v>
      </c>
      <c r="C10" s="217"/>
      <c r="D10" s="217"/>
      <c r="E10" s="217"/>
      <c r="F10" s="217"/>
      <c r="G10" s="217"/>
      <c r="H10" s="217"/>
      <c r="I10" s="217"/>
      <c r="J10" s="217"/>
      <c r="K10" s="217"/>
      <c r="L10" s="217"/>
    </row>
    <row r="11" spans="1:12" ht="13">
      <c r="B11" s="37" t="s">
        <v>61</v>
      </c>
      <c r="C11" s="67"/>
      <c r="D11" s="257" t="s">
        <v>62</v>
      </c>
      <c r="G11" s="297"/>
      <c r="H11" s="297"/>
      <c r="I11" s="297"/>
      <c r="J11" s="297"/>
      <c r="K11" s="297"/>
      <c r="L11" s="82"/>
    </row>
    <row r="12" spans="1:12" ht="13">
      <c r="B12" s="37" t="s">
        <v>63</v>
      </c>
      <c r="C12" s="67"/>
      <c r="D12" s="257" t="s">
        <v>64</v>
      </c>
      <c r="G12" s="297"/>
      <c r="H12" s="297"/>
      <c r="I12" s="297"/>
      <c r="J12" s="297"/>
      <c r="K12" s="297"/>
      <c r="L12" s="82"/>
    </row>
    <row r="13" spans="1:12" ht="40.5" customHeight="1">
      <c r="B13" s="37" t="s">
        <v>334</v>
      </c>
      <c r="C13" s="68" t="s">
        <v>436</v>
      </c>
      <c r="D13" s="238"/>
      <c r="G13" s="297"/>
      <c r="H13" s="297"/>
      <c r="I13" s="297"/>
      <c r="J13" s="297"/>
      <c r="K13" s="297"/>
      <c r="L13" s="82"/>
    </row>
    <row r="14" spans="1:12">
      <c r="B14" s="37" t="s">
        <v>335</v>
      </c>
      <c r="C14" s="69"/>
      <c r="D14" s="257" t="s">
        <v>336</v>
      </c>
      <c r="L14" s="73"/>
    </row>
    <row r="15" spans="1:12">
      <c r="L15" s="73"/>
    </row>
    <row r="16" spans="1:12" ht="13">
      <c r="B16" s="217" t="s">
        <v>70</v>
      </c>
      <c r="C16" s="217"/>
      <c r="D16" s="217"/>
      <c r="E16" s="217"/>
      <c r="F16" s="217"/>
      <c r="G16" s="217"/>
      <c r="H16" s="217"/>
      <c r="I16" s="217"/>
      <c r="J16" s="217"/>
      <c r="K16" s="217"/>
      <c r="L16" s="217"/>
    </row>
    <row r="17" spans="1:12" ht="21.65" customHeight="1">
      <c r="B17" s="267" t="s">
        <v>71</v>
      </c>
      <c r="C17" s="268" t="s">
        <v>72</v>
      </c>
      <c r="D17" s="268" t="s">
        <v>51</v>
      </c>
      <c r="E17" s="297"/>
      <c r="G17" s="270" t="s">
        <v>50</v>
      </c>
      <c r="H17" s="270" t="s">
        <v>73</v>
      </c>
      <c r="I17" s="270" t="s">
        <v>74</v>
      </c>
      <c r="J17" s="270" t="s">
        <v>75</v>
      </c>
      <c r="K17" s="270" t="s">
        <v>76</v>
      </c>
      <c r="L17" s="70"/>
    </row>
    <row r="18" spans="1:12" ht="13">
      <c r="B18" s="37" t="str" cm="1">
        <f t="array" ref="B18:B22">'Cost Schedule'!B53:B57</f>
        <v>Disconnect grid - major</v>
      </c>
      <c r="C18" s="71"/>
      <c r="D18" s="257" t="s">
        <v>77</v>
      </c>
      <c r="G18" s="38">
        <f>'Cost Schedule'!C53</f>
        <v>35874.617880143458</v>
      </c>
      <c r="H18" s="72"/>
      <c r="I18" s="39">
        <f>IF(H18="",G18,H18)</f>
        <v>35874.617880143458</v>
      </c>
      <c r="J18" s="257" t="s">
        <v>78</v>
      </c>
      <c r="K18" s="41">
        <f>I18*C18</f>
        <v>0</v>
      </c>
      <c r="L18" s="73"/>
    </row>
    <row r="19" spans="1:12" ht="13">
      <c r="B19" s="37" t="str">
        <v>Disconnect grid - minor</v>
      </c>
      <c r="C19" s="71"/>
      <c r="D19" s="257" t="s">
        <v>77</v>
      </c>
      <c r="G19" s="38">
        <f>'Cost Schedule'!C54</f>
        <v>25874.617880143454</v>
      </c>
      <c r="H19" s="72"/>
      <c r="I19" s="39">
        <f>IF(H19="",G19,H19)</f>
        <v>25874.617880143454</v>
      </c>
      <c r="J19" s="257" t="s">
        <v>78</v>
      </c>
      <c r="K19" s="41">
        <f>I19*C19</f>
        <v>0</v>
      </c>
      <c r="L19" s="73"/>
    </row>
    <row r="20" spans="1:12" ht="13">
      <c r="B20" s="37" t="str">
        <v>Disconnect utilities (site-wide)</v>
      </c>
      <c r="C20" s="71"/>
      <c r="D20" s="257" t="s">
        <v>77</v>
      </c>
      <c r="G20" s="38">
        <f>'Cost Schedule'!C55</f>
        <v>25874.617880143454</v>
      </c>
      <c r="H20" s="72"/>
      <c r="I20" s="39">
        <f>IF(H20="",G20,H20)</f>
        <v>25874.617880143454</v>
      </c>
      <c r="J20" s="257" t="s">
        <v>78</v>
      </c>
      <c r="K20" s="41">
        <f>I20*C20</f>
        <v>0</v>
      </c>
      <c r="L20" s="73"/>
    </row>
    <row r="21" spans="1:12" ht="13">
      <c r="B21" s="37" t="str">
        <v>Disconnect utilities (remote)</v>
      </c>
      <c r="C21" s="71"/>
      <c r="D21" s="257" t="s">
        <v>77</v>
      </c>
      <c r="G21" s="38">
        <f>'Cost Schedule'!C56</f>
        <v>20874.617880143454</v>
      </c>
      <c r="H21" s="72"/>
      <c r="I21" s="39">
        <f>IF(H21="",G21,H21)</f>
        <v>20874.617880143454</v>
      </c>
      <c r="J21" s="257" t="s">
        <v>78</v>
      </c>
      <c r="K21" s="41">
        <f>I21*C21</f>
        <v>0</v>
      </c>
      <c r="L21" s="73"/>
    </row>
    <row r="22" spans="1:12" ht="13">
      <c r="B22" s="37" t="str">
        <v>Wind turbine cable disconnect</v>
      </c>
      <c r="C22" s="71"/>
      <c r="D22" s="257" t="s">
        <v>77</v>
      </c>
      <c r="F22" s="271"/>
      <c r="G22" s="38">
        <f>'Cost Schedule'!C57</f>
        <v>1090.7377350179318</v>
      </c>
      <c r="H22" s="72"/>
      <c r="I22" s="39">
        <f>IF(H22="",G22,H22)</f>
        <v>1090.7377350179318</v>
      </c>
      <c r="J22" s="257" t="s">
        <v>78</v>
      </c>
      <c r="K22" s="41">
        <f>I22*C22</f>
        <v>0</v>
      </c>
      <c r="L22" s="73"/>
    </row>
    <row r="23" spans="1:12">
      <c r="C23" s="303"/>
      <c r="K23" s="238"/>
      <c r="L23" s="70"/>
    </row>
    <row r="24" spans="1:12" ht="13">
      <c r="B24" s="302" t="s">
        <v>79</v>
      </c>
      <c r="C24" s="42">
        <f>SUM(C17:C23)</f>
        <v>0</v>
      </c>
      <c r="D24" s="257" t="s">
        <v>77</v>
      </c>
      <c r="H24" s="275" t="s">
        <v>80</v>
      </c>
      <c r="I24" s="50">
        <f>IF(C24=0,0,K24/C24)</f>
        <v>0</v>
      </c>
      <c r="J24" s="276" t="s">
        <v>81</v>
      </c>
      <c r="K24" s="43">
        <f>SUM(K17:K23)</f>
        <v>0</v>
      </c>
      <c r="L24" s="73"/>
    </row>
    <row r="25" spans="1:12" ht="13">
      <c r="B25" s="297"/>
      <c r="C25" s="297"/>
      <c r="D25" s="297"/>
      <c r="G25" s="297"/>
      <c r="H25" s="297"/>
      <c r="I25" s="297"/>
      <c r="J25" s="297"/>
      <c r="K25" s="297"/>
      <c r="L25" s="82"/>
    </row>
    <row r="26" spans="1:12" ht="13">
      <c r="A26" s="238"/>
      <c r="B26" s="217" t="s">
        <v>82</v>
      </c>
      <c r="C26" s="217"/>
      <c r="D26" s="217"/>
      <c r="E26" s="217"/>
      <c r="F26" s="217"/>
      <c r="G26" s="217"/>
      <c r="H26" s="217"/>
      <c r="I26" s="217"/>
      <c r="J26" s="217"/>
      <c r="K26" s="217"/>
      <c r="L26" s="217"/>
    </row>
    <row r="27" spans="1:12" ht="26.25" customHeight="1">
      <c r="B27" s="267" t="s">
        <v>71</v>
      </c>
      <c r="C27" s="268" t="s">
        <v>72</v>
      </c>
      <c r="D27" s="268" t="s">
        <v>51</v>
      </c>
      <c r="E27" s="297" t="s">
        <v>83</v>
      </c>
      <c r="G27" s="270" t="s">
        <v>50</v>
      </c>
      <c r="H27" s="270" t="s">
        <v>73</v>
      </c>
      <c r="I27" s="270" t="s">
        <v>74</v>
      </c>
      <c r="J27" s="270" t="s">
        <v>75</v>
      </c>
      <c r="K27" s="270" t="s">
        <v>76</v>
      </c>
      <c r="L27" s="44" t="s">
        <v>84</v>
      </c>
    </row>
    <row r="28" spans="1:12" ht="13">
      <c r="B28" s="37" t="s">
        <v>1281</v>
      </c>
      <c r="C28" s="67"/>
      <c r="D28" s="257" t="s">
        <v>86</v>
      </c>
      <c r="E28" s="74" t="s">
        <v>93</v>
      </c>
      <c r="F28" s="271"/>
      <c r="G28" s="38">
        <f>'Cost Schedule'!C65</f>
        <v>3573.8854889685858</v>
      </c>
      <c r="H28" s="72"/>
      <c r="I28" s="39">
        <f>IF(H28="",G28,H28)</f>
        <v>3573.8854889685858</v>
      </c>
      <c r="J28" s="257" t="s">
        <v>86</v>
      </c>
      <c r="K28" s="45">
        <f>I28*C28</f>
        <v>0</v>
      </c>
      <c r="L28" s="73"/>
    </row>
    <row r="29" spans="1:12" ht="13">
      <c r="B29" s="37" t="s">
        <v>1282</v>
      </c>
      <c r="C29" s="67"/>
      <c r="D29" s="257" t="s">
        <v>86</v>
      </c>
      <c r="E29" s="74" t="s">
        <v>95</v>
      </c>
      <c r="F29" s="271"/>
      <c r="G29" s="38">
        <f>'Cost Schedule'!C66</f>
        <v>16082.484700358636</v>
      </c>
      <c r="H29" s="72"/>
      <c r="I29" s="39">
        <f>IF(H29="",G29,H29)</f>
        <v>16082.484700358636</v>
      </c>
      <c r="J29" s="257" t="s">
        <v>86</v>
      </c>
      <c r="K29" s="45">
        <f>I29*C29</f>
        <v>0</v>
      </c>
      <c r="L29" s="73"/>
    </row>
    <row r="30" spans="1:12" ht="13">
      <c r="B30" s="37" t="s">
        <v>96</v>
      </c>
      <c r="C30" s="67"/>
      <c r="D30" s="257" t="s">
        <v>86</v>
      </c>
      <c r="E30" s="74" t="s">
        <v>97</v>
      </c>
      <c r="F30" s="271"/>
      <c r="G30" s="38">
        <f>'Cost Schedule'!C67</f>
        <v>134.34486750896593</v>
      </c>
      <c r="H30" s="72"/>
      <c r="I30" s="39">
        <f>IF(H30="",G30,H30)</f>
        <v>134.34486750896593</v>
      </c>
      <c r="J30" s="257" t="s">
        <v>86</v>
      </c>
      <c r="K30" s="45">
        <f>I30*C30</f>
        <v>0</v>
      </c>
      <c r="L30" s="73"/>
    </row>
    <row r="31" spans="1:12" ht="13">
      <c r="B31" s="37" t="s">
        <v>337</v>
      </c>
      <c r="C31" s="67"/>
      <c r="D31" s="257" t="s">
        <v>86</v>
      </c>
      <c r="E31" s="74" t="s">
        <v>338</v>
      </c>
      <c r="F31" s="271"/>
      <c r="G31" s="38">
        <f>'Cost Schedule'!C68</f>
        <v>7197.7936750896588</v>
      </c>
      <c r="H31" s="72"/>
      <c r="I31" s="39">
        <f>IF(H31="",G31,H31)</f>
        <v>7197.7936750896588</v>
      </c>
      <c r="J31" s="257" t="s">
        <v>86</v>
      </c>
      <c r="K31" s="45">
        <f>I31*C31</f>
        <v>0</v>
      </c>
      <c r="L31" s="73"/>
    </row>
    <row r="32" spans="1:12" ht="13">
      <c r="B32" s="37" t="s">
        <v>339</v>
      </c>
      <c r="C32" s="67"/>
      <c r="D32" s="257" t="s">
        <v>86</v>
      </c>
      <c r="E32" s="74" t="s">
        <v>340</v>
      </c>
      <c r="F32" s="271"/>
      <c r="G32" s="38">
        <f>'Cost Schedule'!C69</f>
        <v>14395.587350179318</v>
      </c>
      <c r="H32" s="72"/>
      <c r="I32" s="39">
        <f>IF(H32="",G32,H32)</f>
        <v>14395.587350179318</v>
      </c>
      <c r="J32" s="257" t="s">
        <v>86</v>
      </c>
      <c r="K32" s="45">
        <f>I32*C32</f>
        <v>0</v>
      </c>
      <c r="L32" s="73"/>
    </row>
    <row r="33" spans="1:12" ht="13">
      <c r="B33" s="37" t="s">
        <v>104</v>
      </c>
      <c r="C33" s="88">
        <f>C28*_xlfn.XLOOKUP(E28,Electrical_cables_names_Ass,Electrical_cables_km_per_drum_Ass)+C29*_xlfn.XLOOKUP(E29,Electrical_cables_names_Ass,Electrical_cables_km_per_drum_Ass)*_xlfn.XLOOKUP(E33,Cable_drums_haul_unload_names_UR,Cable_drums_haul_unload_distance_avg)</f>
        <v>0</v>
      </c>
      <c r="D33" s="257" t="s">
        <v>102</v>
      </c>
      <c r="E33" s="74" t="s">
        <v>103</v>
      </c>
      <c r="F33" s="271"/>
      <c r="G33" s="47">
        <f>_xlfn.XLOOKUP(E33, Cable_drums_haul_unload_names_UR,Cable_drums_haul_unload_rates_UR)</f>
        <v>1.3847916666666662</v>
      </c>
      <c r="H33" s="72"/>
      <c r="I33" s="48">
        <f t="shared" ref="I33:I36" si="0">IF(H33="",G33,H33)</f>
        <v>1.3847916666666662</v>
      </c>
      <c r="J33" s="257" t="s">
        <v>102</v>
      </c>
      <c r="K33" s="49">
        <f t="shared" ref="K33:K36" si="1">I33*C33</f>
        <v>0</v>
      </c>
      <c r="L33" s="73"/>
    </row>
    <row r="34" spans="1:12" ht="13">
      <c r="B34" s="37" t="s">
        <v>105</v>
      </c>
      <c r="C34" s="46">
        <f>C30*_xlfn.XLOOKUP(E30,Electrical_cables_names_Ass,Electrical_cables_km_per_drum_Ass)*_xlfn.XLOOKUP(E34,Cable_drums_haul_unload_names_UR,Cable_drums_haul_unload_distance_avg)</f>
        <v>0</v>
      </c>
      <c r="D34" s="257" t="s">
        <v>102</v>
      </c>
      <c r="E34" s="74" t="s">
        <v>103</v>
      </c>
      <c r="F34" s="271"/>
      <c r="G34" s="47">
        <f>_xlfn.XLOOKUP(E34, Cable_drums_haul_unload_names_UR,Cable_drums_haul_unload_rates_UR)</f>
        <v>1.3847916666666662</v>
      </c>
      <c r="H34" s="72"/>
      <c r="I34" s="48">
        <f t="shared" si="0"/>
        <v>1.3847916666666662</v>
      </c>
      <c r="J34" s="257" t="s">
        <v>102</v>
      </c>
      <c r="K34" s="49">
        <f>I34*C34</f>
        <v>0</v>
      </c>
      <c r="L34" s="73"/>
    </row>
    <row r="35" spans="1:12" ht="13">
      <c r="B35" s="37" t="s">
        <v>341</v>
      </c>
      <c r="C35" s="46">
        <f>C31*_xlfn.XLOOKUP(E31,Electrical_cables_names_Ass,Electrical_cables_km_per_drum_Ass)*_xlfn.XLOOKUP(E35,Cable_drums_haul_unload_names_UR,Cable_drums_haul_unload_distance_avg)</f>
        <v>0</v>
      </c>
      <c r="D35" s="257" t="s">
        <v>102</v>
      </c>
      <c r="E35" s="74" t="s">
        <v>103</v>
      </c>
      <c r="F35" s="271"/>
      <c r="G35" s="47">
        <f>_xlfn.XLOOKUP(E35, Cable_drums_haul_unload_names_UR,Cable_drums_haul_unload_rates_UR)</f>
        <v>1.3847916666666662</v>
      </c>
      <c r="H35" s="72"/>
      <c r="I35" s="48">
        <f t="shared" si="0"/>
        <v>1.3847916666666662</v>
      </c>
      <c r="J35" s="257" t="s">
        <v>102</v>
      </c>
      <c r="K35" s="49">
        <f t="shared" si="1"/>
        <v>0</v>
      </c>
      <c r="L35" s="73"/>
    </row>
    <row r="36" spans="1:12" ht="13">
      <c r="B36" s="37" t="s">
        <v>342</v>
      </c>
      <c r="C36" s="46">
        <f>C32*_xlfn.XLOOKUP(E32,Electrical_cables_names_Ass,Electrical_cables_km_per_drum_Ass)*_xlfn.XLOOKUP(E36,Cable_drums_haul_unload_names_UR,Cable_drums_haul_unload_distance_avg)</f>
        <v>0</v>
      </c>
      <c r="D36" s="257" t="s">
        <v>102</v>
      </c>
      <c r="E36" s="74" t="s">
        <v>103</v>
      </c>
      <c r="F36" s="271"/>
      <c r="G36" s="47">
        <f>_xlfn.XLOOKUP(E36, Cable_drums_haul_unload_names_UR,Cable_drums_haul_unload_rates_UR)</f>
        <v>1.3847916666666662</v>
      </c>
      <c r="H36" s="72"/>
      <c r="I36" s="48">
        <f t="shared" si="0"/>
        <v>1.3847916666666662</v>
      </c>
      <c r="J36" s="257" t="s">
        <v>102</v>
      </c>
      <c r="K36" s="49">
        <f t="shared" si="1"/>
        <v>0</v>
      </c>
      <c r="L36" s="73"/>
    </row>
    <row r="37" spans="1:12">
      <c r="C37" s="314"/>
      <c r="I37" s="273"/>
      <c r="L37" s="70"/>
    </row>
    <row r="38" spans="1:12" ht="13">
      <c r="B38" s="302" t="str">
        <f>B$24</f>
        <v>Totals</v>
      </c>
      <c r="C38" s="274">
        <f>SUM(C27:C32)</f>
        <v>0</v>
      </c>
      <c r="D38" s="257" t="s">
        <v>86</v>
      </c>
      <c r="H38" s="275" t="s">
        <v>106</v>
      </c>
      <c r="I38" s="50">
        <f>IF(C38=0,0,K38/C38)</f>
        <v>0</v>
      </c>
      <c r="J38" s="276" t="s">
        <v>343</v>
      </c>
      <c r="K38" s="43">
        <f>SUM(K27:K37)</f>
        <v>0</v>
      </c>
      <c r="L38" s="73"/>
    </row>
    <row r="39" spans="1:12">
      <c r="L39" s="70"/>
    </row>
    <row r="40" spans="1:12" ht="13">
      <c r="A40" s="238"/>
      <c r="B40" s="217" t="s">
        <v>108</v>
      </c>
      <c r="C40" s="217"/>
      <c r="D40" s="217"/>
      <c r="E40" s="217"/>
      <c r="F40" s="217"/>
      <c r="G40" s="217"/>
      <c r="H40" s="217"/>
      <c r="I40" s="217"/>
      <c r="J40" s="217"/>
      <c r="K40" s="217"/>
      <c r="L40" s="217"/>
    </row>
    <row r="41" spans="1:12" ht="22.5" customHeight="1">
      <c r="B41" s="267" t="s">
        <v>71</v>
      </c>
      <c r="C41" s="268" t="s">
        <v>72</v>
      </c>
      <c r="D41" s="268" t="s">
        <v>51</v>
      </c>
      <c r="E41" s="271"/>
      <c r="F41" s="271"/>
      <c r="G41" s="270" t="s">
        <v>50</v>
      </c>
      <c r="H41" s="270" t="s">
        <v>73</v>
      </c>
      <c r="I41" s="270" t="s">
        <v>74</v>
      </c>
      <c r="J41" s="270" t="s">
        <v>75</v>
      </c>
      <c r="K41" s="270" t="s">
        <v>76</v>
      </c>
      <c r="L41" s="70"/>
    </row>
    <row r="42" spans="1:12" ht="13">
      <c r="B42" s="37" t="s">
        <v>109</v>
      </c>
      <c r="C42" s="67"/>
      <c r="D42" s="238" t="s">
        <v>86</v>
      </c>
      <c r="G42" s="52">
        <f>Remove_powerline_rate</f>
        <v>18576.11892137249</v>
      </c>
      <c r="H42" s="72"/>
      <c r="I42" s="39">
        <f>IF(H42="",G42,H42)</f>
        <v>18576.11892137249</v>
      </c>
      <c r="J42" s="238" t="s">
        <v>86</v>
      </c>
      <c r="K42" s="45">
        <f>I42*C42</f>
        <v>0</v>
      </c>
      <c r="L42" s="73"/>
    </row>
    <row r="43" spans="1:12">
      <c r="C43" s="301"/>
      <c r="L43" s="70"/>
    </row>
    <row r="44" spans="1:12" ht="13">
      <c r="B44" s="302" t="str">
        <f>B$24</f>
        <v>Totals</v>
      </c>
      <c r="C44" s="89">
        <f>SUM(C41:C43)</f>
        <v>0</v>
      </c>
      <c r="D44" s="238" t="s">
        <v>86</v>
      </c>
      <c r="G44" s="238"/>
      <c r="H44" s="265" t="s">
        <v>110</v>
      </c>
      <c r="I44" s="39">
        <f>IF(C44=0,0,K44/C44)</f>
        <v>0</v>
      </c>
      <c r="J44" s="266" t="s">
        <v>107</v>
      </c>
      <c r="K44" s="43">
        <f>SUM(K41:K43)</f>
        <v>0</v>
      </c>
      <c r="L44" s="73"/>
    </row>
    <row r="45" spans="1:12">
      <c r="C45" s="301"/>
      <c r="L45" s="70"/>
    </row>
    <row r="46" spans="1:12" ht="13">
      <c r="A46" s="238"/>
      <c r="B46" s="217" t="s">
        <v>111</v>
      </c>
      <c r="C46" s="217"/>
      <c r="D46" s="217"/>
      <c r="E46" s="217"/>
      <c r="F46" s="217"/>
      <c r="G46" s="217"/>
      <c r="H46" s="217"/>
      <c r="I46" s="217"/>
      <c r="J46" s="217"/>
      <c r="K46" s="217"/>
      <c r="L46" s="217"/>
    </row>
    <row r="47" spans="1:12" ht="22.5" customHeight="1">
      <c r="B47" s="267" t="s">
        <v>71</v>
      </c>
      <c r="C47" s="268" t="s">
        <v>72</v>
      </c>
      <c r="D47" s="268" t="s">
        <v>51</v>
      </c>
      <c r="E47" s="271"/>
      <c r="F47" s="271"/>
      <c r="G47" s="270" t="s">
        <v>50</v>
      </c>
      <c r="H47" s="270" t="s">
        <v>73</v>
      </c>
      <c r="I47" s="270" t="s">
        <v>74</v>
      </c>
      <c r="J47" s="270" t="s">
        <v>75</v>
      </c>
      <c r="K47" s="270" t="s">
        <v>76</v>
      </c>
      <c r="L47" s="70"/>
    </row>
    <row r="48" spans="1:12" ht="13">
      <c r="B48" s="37" t="s">
        <v>112</v>
      </c>
      <c r="C48" s="69"/>
      <c r="D48" s="238" t="s">
        <v>113</v>
      </c>
      <c r="E48" s="238"/>
      <c r="G48" s="52">
        <f>Remove_met_mast_rate</f>
        <v>4583.4674525698738</v>
      </c>
      <c r="H48" s="72"/>
      <c r="I48" s="39">
        <f>IF(H48="",G48,H48)</f>
        <v>4583.4674525698738</v>
      </c>
      <c r="J48" s="238" t="s">
        <v>114</v>
      </c>
      <c r="K48" s="45">
        <f>I48*C48</f>
        <v>0</v>
      </c>
      <c r="L48" s="73"/>
    </row>
    <row r="49" spans="1:12">
      <c r="C49" s="315"/>
      <c r="L49" s="70"/>
    </row>
    <row r="50" spans="1:12" ht="13">
      <c r="B50" s="302" t="str">
        <f>B$24</f>
        <v>Totals</v>
      </c>
      <c r="C50" s="90">
        <f>SUM(C47:C49)</f>
        <v>0</v>
      </c>
      <c r="D50" s="238" t="s">
        <v>113</v>
      </c>
      <c r="H50" s="265" t="s">
        <v>115</v>
      </c>
      <c r="I50" s="39">
        <f>IF(C50=0,0,K50/C50)</f>
        <v>0</v>
      </c>
      <c r="J50" s="266" t="s">
        <v>116</v>
      </c>
      <c r="K50" s="43">
        <f>SUM(K47:K49)</f>
        <v>0</v>
      </c>
      <c r="L50" s="73"/>
    </row>
    <row r="52" spans="1:12" ht="13">
      <c r="A52" s="238"/>
      <c r="B52" s="217" t="s">
        <v>117</v>
      </c>
      <c r="C52" s="217"/>
      <c r="D52" s="217"/>
      <c r="E52" s="217"/>
      <c r="F52" s="217"/>
      <c r="G52" s="217"/>
      <c r="H52" s="217"/>
      <c r="I52" s="217"/>
      <c r="J52" s="217"/>
      <c r="K52" s="217"/>
      <c r="L52" s="217"/>
    </row>
    <row r="53" spans="1:12" ht="23.25" customHeight="1">
      <c r="B53" s="267" t="s">
        <v>71</v>
      </c>
      <c r="C53" s="268" t="s">
        <v>72</v>
      </c>
      <c r="D53" s="268" t="s">
        <v>51</v>
      </c>
      <c r="E53" s="271" t="s">
        <v>83</v>
      </c>
      <c r="F53" s="271"/>
      <c r="G53" s="270" t="s">
        <v>50</v>
      </c>
      <c r="H53" s="270" t="s">
        <v>73</v>
      </c>
      <c r="I53" s="270" t="s">
        <v>74</v>
      </c>
      <c r="J53" s="270" t="s">
        <v>75</v>
      </c>
      <c r="K53" s="270" t="s">
        <v>76</v>
      </c>
      <c r="L53" s="70"/>
    </row>
    <row r="54" spans="1:12" ht="13">
      <c r="B54" s="37" t="s">
        <v>118</v>
      </c>
      <c r="C54" s="69"/>
      <c r="D54" s="257" t="s">
        <v>119</v>
      </c>
      <c r="E54" s="74" t="s">
        <v>120</v>
      </c>
      <c r="F54" s="271"/>
      <c r="G54" s="38">
        <f>_xlfn.XLOOKUP(E54,Substation_sizes_UR,Substation_rates_UR)</f>
        <v>127299.02471965126</v>
      </c>
      <c r="H54" s="72"/>
      <c r="I54" s="39">
        <f>IF(H54="",G54,H54)</f>
        <v>127299.02471965126</v>
      </c>
      <c r="J54" s="257" t="s">
        <v>121</v>
      </c>
      <c r="K54" s="45">
        <f>I54*C54</f>
        <v>0</v>
      </c>
      <c r="L54" s="73"/>
    </row>
    <row r="55" spans="1:12" ht="13">
      <c r="B55" s="37" t="s">
        <v>122</v>
      </c>
      <c r="C55" s="69"/>
      <c r="D55" s="257" t="s">
        <v>119</v>
      </c>
      <c r="E55" s="74" t="s">
        <v>123</v>
      </c>
      <c r="F55" s="271"/>
      <c r="G55" s="38">
        <f t="shared" ref="G55:G59" si="2">_xlfn.XLOOKUP(E55,Substation_sizes_UR,Substation_rates_UR)</f>
        <v>260457.16548370387</v>
      </c>
      <c r="H55" s="72"/>
      <c r="I55" s="39">
        <f>IF(H55="",G55,H55)</f>
        <v>260457.16548370387</v>
      </c>
      <c r="J55" s="257" t="s">
        <v>121</v>
      </c>
      <c r="K55" s="45">
        <f>I55*C55</f>
        <v>0</v>
      </c>
      <c r="L55" s="70"/>
    </row>
    <row r="56" spans="1:12" ht="13">
      <c r="B56" s="37" t="s">
        <v>124</v>
      </c>
      <c r="C56" s="69"/>
      <c r="D56" s="257" t="s">
        <v>119</v>
      </c>
      <c r="E56" s="74" t="s">
        <v>125</v>
      </c>
      <c r="F56" s="271"/>
      <c r="G56" s="38">
        <f t="shared" si="2"/>
        <v>431302.77125752135</v>
      </c>
      <c r="H56" s="72"/>
      <c r="I56" s="39">
        <f>IF(H56="",G56,H56)</f>
        <v>431302.77125752135</v>
      </c>
      <c r="J56" s="257" t="s">
        <v>121</v>
      </c>
      <c r="K56" s="45">
        <f>I56*C56</f>
        <v>0</v>
      </c>
      <c r="L56" s="73"/>
    </row>
    <row r="57" spans="1:12" ht="13">
      <c r="B57" s="37" t="s">
        <v>126</v>
      </c>
      <c r="C57" s="69"/>
      <c r="D57" s="257" t="s">
        <v>119</v>
      </c>
      <c r="E57" s="74" t="s">
        <v>120</v>
      </c>
      <c r="F57" s="271"/>
      <c r="G57" s="38">
        <f t="shared" si="2"/>
        <v>127299.02471965126</v>
      </c>
      <c r="H57" s="72"/>
      <c r="I57" s="39">
        <f t="shared" ref="I57:I58" si="3">IF(H57="",G57,H57)</f>
        <v>127299.02471965126</v>
      </c>
      <c r="J57" s="257" t="s">
        <v>121</v>
      </c>
      <c r="K57" s="45">
        <f t="shared" ref="K57:K58" si="4">I57*C57</f>
        <v>0</v>
      </c>
      <c r="L57" s="73"/>
    </row>
    <row r="58" spans="1:12" ht="13">
      <c r="B58" s="37" t="s">
        <v>127</v>
      </c>
      <c r="C58" s="69"/>
      <c r="D58" s="257" t="s">
        <v>119</v>
      </c>
      <c r="E58" s="74" t="s">
        <v>123</v>
      </c>
      <c r="F58" s="271"/>
      <c r="G58" s="38">
        <f t="shared" si="2"/>
        <v>260457.16548370387</v>
      </c>
      <c r="H58" s="72"/>
      <c r="I58" s="39">
        <f t="shared" si="3"/>
        <v>260457.16548370387</v>
      </c>
      <c r="J58" s="257" t="s">
        <v>121</v>
      </c>
      <c r="K58" s="45">
        <f t="shared" si="4"/>
        <v>0</v>
      </c>
      <c r="L58" s="70"/>
    </row>
    <row r="59" spans="1:12" ht="13">
      <c r="B59" s="37" t="s">
        <v>344</v>
      </c>
      <c r="C59" s="69"/>
      <c r="D59" s="257" t="s">
        <v>119</v>
      </c>
      <c r="E59" s="74" t="s">
        <v>125</v>
      </c>
      <c r="F59" s="271"/>
      <c r="G59" s="38">
        <f t="shared" si="2"/>
        <v>431302.77125752135</v>
      </c>
      <c r="H59" s="72"/>
      <c r="I59" s="39">
        <f>IF(H59="",G59,H59)</f>
        <v>431302.77125752135</v>
      </c>
      <c r="J59" s="257" t="s">
        <v>121</v>
      </c>
      <c r="K59" s="45">
        <f>I59*C59</f>
        <v>0</v>
      </c>
      <c r="L59" s="73"/>
    </row>
    <row r="60" spans="1:12" ht="13">
      <c r="B60" s="297"/>
      <c r="C60" s="316"/>
      <c r="D60" s="297"/>
      <c r="F60" s="271"/>
      <c r="G60" s="297"/>
      <c r="H60" s="297"/>
      <c r="I60" s="317"/>
      <c r="J60" s="297"/>
      <c r="K60" s="297"/>
      <c r="L60" s="70"/>
    </row>
    <row r="61" spans="1:12" ht="13">
      <c r="B61" s="302" t="str">
        <f>B$24</f>
        <v>Totals</v>
      </c>
      <c r="C61" s="91">
        <f>SUM(C54:C59)</f>
        <v>0</v>
      </c>
      <c r="D61" s="257" t="s">
        <v>119</v>
      </c>
      <c r="H61" s="275" t="s">
        <v>345</v>
      </c>
      <c r="I61" s="50">
        <f>IF(C61=0,0,K61/C61)</f>
        <v>0</v>
      </c>
      <c r="J61" s="276" t="s">
        <v>129</v>
      </c>
      <c r="K61" s="43">
        <f>SUM(K53:K60)</f>
        <v>0</v>
      </c>
      <c r="L61" s="73"/>
    </row>
    <row r="62" spans="1:12" ht="13">
      <c r="B62" s="297"/>
      <c r="C62" s="297"/>
      <c r="D62" s="297"/>
      <c r="G62" s="297"/>
      <c r="H62" s="297"/>
      <c r="I62" s="297"/>
      <c r="J62" s="297"/>
      <c r="K62" s="297"/>
      <c r="L62" s="70"/>
    </row>
    <row r="63" spans="1:12" ht="13">
      <c r="A63" s="238"/>
      <c r="B63" s="217" t="s">
        <v>346</v>
      </c>
      <c r="C63" s="217"/>
      <c r="D63" s="217"/>
      <c r="E63" s="217"/>
      <c r="F63" s="217"/>
      <c r="G63" s="217"/>
      <c r="H63" s="217"/>
      <c r="I63" s="217"/>
      <c r="J63" s="217"/>
      <c r="K63" s="217"/>
      <c r="L63" s="217"/>
    </row>
    <row r="64" spans="1:12" ht="23.25" customHeight="1">
      <c r="B64" s="267" t="s">
        <v>71</v>
      </c>
      <c r="C64" s="268" t="s">
        <v>72</v>
      </c>
      <c r="D64" s="268" t="s">
        <v>51</v>
      </c>
      <c r="G64" s="270" t="s">
        <v>50</v>
      </c>
      <c r="H64" s="270" t="s">
        <v>73</v>
      </c>
      <c r="I64" s="270" t="s">
        <v>74</v>
      </c>
      <c r="J64" s="270" t="s">
        <v>75</v>
      </c>
      <c r="K64" s="270" t="s">
        <v>76</v>
      </c>
      <c r="L64" s="70"/>
    </row>
    <row r="65" spans="1:12" ht="13">
      <c r="B65" s="37" t="s">
        <v>347</v>
      </c>
      <c r="C65" s="69"/>
      <c r="D65" s="257" t="s">
        <v>134</v>
      </c>
      <c r="E65" s="271"/>
      <c r="F65" s="271"/>
      <c r="G65" s="38">
        <f>'Cost Schedule'!C432</f>
        <v>3571.3568272918019</v>
      </c>
      <c r="H65" s="72"/>
      <c r="I65" s="39">
        <f>IF(H65="",G65,H65)</f>
        <v>3571.3568272918019</v>
      </c>
      <c r="J65" s="257" t="s">
        <v>132</v>
      </c>
      <c r="K65" s="45">
        <f>I65*C65</f>
        <v>0</v>
      </c>
      <c r="L65" s="73"/>
    </row>
    <row r="66" spans="1:12" ht="13">
      <c r="B66" s="37" t="s">
        <v>133</v>
      </c>
      <c r="C66" s="69"/>
      <c r="D66" s="257" t="s">
        <v>134</v>
      </c>
      <c r="E66" s="271"/>
      <c r="F66" s="271"/>
      <c r="G66" s="38">
        <f>'Cost Schedule'!C433</f>
        <v>3571.3568272918019</v>
      </c>
      <c r="H66" s="72"/>
      <c r="I66" s="39">
        <f>IF(H66="",G66,H66)</f>
        <v>3571.3568272918019</v>
      </c>
      <c r="J66" s="257" t="s">
        <v>132</v>
      </c>
      <c r="K66" s="45">
        <f>I66*C66</f>
        <v>0</v>
      </c>
      <c r="L66" s="73"/>
    </row>
    <row r="67" spans="1:12">
      <c r="C67" s="315"/>
    </row>
    <row r="68" spans="1:12" ht="13">
      <c r="B68" s="302" t="str">
        <f>B$24</f>
        <v>Totals</v>
      </c>
      <c r="C68" s="283">
        <f>SUM(C65:C66)</f>
        <v>0</v>
      </c>
      <c r="D68" s="257" t="s">
        <v>134</v>
      </c>
      <c r="H68" s="275" t="s">
        <v>348</v>
      </c>
      <c r="I68" s="50">
        <f>IF(C68=0,0,K68/C68)</f>
        <v>0</v>
      </c>
      <c r="J68" s="276" t="s">
        <v>349</v>
      </c>
      <c r="K68" s="43">
        <f>SUM(K64:K67)</f>
        <v>0</v>
      </c>
      <c r="L68" s="73"/>
    </row>
    <row r="69" spans="1:12">
      <c r="C69" s="301"/>
      <c r="L69" s="70"/>
    </row>
    <row r="70" spans="1:12" ht="13">
      <c r="A70" s="238"/>
      <c r="B70" s="217" t="s">
        <v>350</v>
      </c>
      <c r="C70" s="217"/>
      <c r="D70" s="217"/>
      <c r="E70" s="217"/>
      <c r="F70" s="217"/>
      <c r="G70" s="217"/>
      <c r="H70" s="217"/>
      <c r="I70" s="217"/>
      <c r="J70" s="217"/>
      <c r="K70" s="217"/>
      <c r="L70" s="217"/>
    </row>
    <row r="71" spans="1:12" ht="24" customHeight="1">
      <c r="B71" s="296" t="s">
        <v>71</v>
      </c>
      <c r="C71" s="297" t="s">
        <v>72</v>
      </c>
      <c r="D71" s="297" t="s">
        <v>51</v>
      </c>
      <c r="E71" s="297" t="s">
        <v>83</v>
      </c>
      <c r="F71" s="297"/>
      <c r="G71" s="298" t="s">
        <v>50</v>
      </c>
      <c r="H71" s="298" t="s">
        <v>73</v>
      </c>
      <c r="I71" s="298" t="s">
        <v>74</v>
      </c>
      <c r="J71" s="298" t="s">
        <v>75</v>
      </c>
      <c r="K71" s="298" t="s">
        <v>76</v>
      </c>
      <c r="L71" s="82"/>
    </row>
    <row r="72" spans="1:12">
      <c r="B72" s="37" t="s">
        <v>351</v>
      </c>
      <c r="C72" s="318">
        <f>_xlfn.XLOOKUP(C$13,Turbine_models,Turbine_gearbox_oil_volume)</f>
        <v>0</v>
      </c>
      <c r="D72" s="257" t="str">
        <f>Turbines!C37</f>
        <v>kL</v>
      </c>
      <c r="L72" s="73"/>
    </row>
    <row r="73" spans="1:12" ht="13">
      <c r="B73" s="37" t="s">
        <v>352</v>
      </c>
      <c r="C73" s="319">
        <f>C72*C$14</f>
        <v>0</v>
      </c>
      <c r="D73" s="257" t="str">
        <f>D72</f>
        <v>kL</v>
      </c>
      <c r="G73" s="47">
        <f>Remove_oil_from_gearbox_rate_UR</f>
        <v>30.149429723218436</v>
      </c>
      <c r="H73" s="72"/>
      <c r="I73" s="48">
        <f>IF(H73="",G73,H73)</f>
        <v>30.149429723218436</v>
      </c>
      <c r="J73" s="257" t="s">
        <v>353</v>
      </c>
      <c r="K73" s="45">
        <f>I73*C73</f>
        <v>0</v>
      </c>
      <c r="L73" s="73"/>
    </row>
    <row r="74" spans="1:12">
      <c r="B74" s="14" t="s">
        <v>256</v>
      </c>
      <c r="C74" s="55">
        <f>_xlfn.XLOOKUP(E75,Long_haul_names_oil_UR,Load_haul_dump_oil_distance_avg)</f>
        <v>12.5</v>
      </c>
      <c r="D74" s="257" t="s">
        <v>86</v>
      </c>
      <c r="L74" s="82"/>
    </row>
    <row r="75" spans="1:12" ht="13">
      <c r="B75" s="56" t="s">
        <v>257</v>
      </c>
      <c r="C75" s="285">
        <f>C74*C73</f>
        <v>0</v>
      </c>
      <c r="D75" s="257" t="s">
        <v>354</v>
      </c>
      <c r="E75" s="77" t="s">
        <v>355</v>
      </c>
      <c r="G75" s="47">
        <f>_xlfn.XLOOKUP(E75,Long_haul_names_oil_UR,Long_haul_rates_oil_UR)</f>
        <v>0.67572827863921725</v>
      </c>
      <c r="H75" s="72"/>
      <c r="I75" s="48">
        <f>IF(H75="",G75,H75)</f>
        <v>0.67572827863921725</v>
      </c>
      <c r="J75" s="257" t="s">
        <v>356</v>
      </c>
      <c r="K75" s="45">
        <f>I75*C75</f>
        <v>0</v>
      </c>
      <c r="L75" s="82"/>
    </row>
    <row r="76" spans="1:12" ht="13">
      <c r="B76" s="56" t="s">
        <v>259</v>
      </c>
      <c r="C76" s="293">
        <f>C73</f>
        <v>0</v>
      </c>
      <c r="D76" s="257" t="str">
        <f>D72</f>
        <v>kL</v>
      </c>
      <c r="E76" s="77" t="s">
        <v>357</v>
      </c>
      <c r="G76" s="47">
        <f>_xlfn.XLOOKUP(E76,Rates!$B$137:$B$138,Rates!$D$137:$D$138)</f>
        <v>125</v>
      </c>
      <c r="H76" s="72"/>
      <c r="I76" s="48">
        <f>IF(H76="",G76,H76)</f>
        <v>125</v>
      </c>
      <c r="J76" s="257" t="s">
        <v>353</v>
      </c>
      <c r="K76" s="45">
        <f>I76*C76</f>
        <v>0</v>
      </c>
      <c r="L76" s="82"/>
    </row>
    <row r="77" spans="1:12" ht="13">
      <c r="B77" s="56" t="s">
        <v>261</v>
      </c>
      <c r="C77" s="293">
        <f>C73</f>
        <v>0</v>
      </c>
      <c r="D77" s="257" t="str">
        <f>D72</f>
        <v>kL</v>
      </c>
      <c r="E77" s="77" t="s">
        <v>262</v>
      </c>
      <c r="G77" s="47">
        <f>_xlfn.XLOOKUP(E77,Waste_levy_names,Waste_levy_rates)</f>
        <v>83</v>
      </c>
      <c r="H77" s="72"/>
      <c r="I77" s="48">
        <f>IF(H77="",G77,H77)</f>
        <v>83</v>
      </c>
      <c r="J77" s="257" t="s">
        <v>353</v>
      </c>
      <c r="K77" s="45">
        <f>I77*C77</f>
        <v>0</v>
      </c>
      <c r="L77" s="82"/>
    </row>
    <row r="78" spans="1:12">
      <c r="C78" s="301"/>
      <c r="K78" s="238"/>
      <c r="L78" s="82"/>
    </row>
    <row r="79" spans="1:12" ht="13">
      <c r="B79" s="302" t="str">
        <f>B$24</f>
        <v>Totals</v>
      </c>
      <c r="C79" s="285">
        <f>C73</f>
        <v>0</v>
      </c>
      <c r="D79" s="257" t="s">
        <v>353</v>
      </c>
      <c r="H79" s="275" t="s">
        <v>358</v>
      </c>
      <c r="I79" s="50">
        <f>IF(C79=0,0,K79/C79)</f>
        <v>0</v>
      </c>
      <c r="J79" s="276" t="s">
        <v>359</v>
      </c>
      <c r="K79" s="43">
        <f>SUM(K71:K78)</f>
        <v>0</v>
      </c>
      <c r="L79" s="82"/>
    </row>
    <row r="80" spans="1:12" ht="13">
      <c r="B80" s="302"/>
      <c r="C80" s="320"/>
      <c r="H80" s="275" t="s">
        <v>360</v>
      </c>
      <c r="I80" s="50" t="e">
        <f>K79/$C$14</f>
        <v>#DIV/0!</v>
      </c>
      <c r="J80" s="276" t="s">
        <v>361</v>
      </c>
      <c r="L80" s="82"/>
    </row>
    <row r="81" spans="1:12">
      <c r="L81" s="82"/>
    </row>
    <row r="82" spans="1:12" ht="13">
      <c r="A82" s="238"/>
      <c r="B82" s="217" t="s">
        <v>362</v>
      </c>
      <c r="C82" s="217"/>
      <c r="D82" s="217"/>
      <c r="E82" s="217"/>
      <c r="F82" s="217"/>
      <c r="G82" s="217"/>
      <c r="H82" s="217"/>
      <c r="I82" s="217"/>
      <c r="J82" s="217"/>
      <c r="K82" s="217"/>
      <c r="L82" s="217"/>
    </row>
    <row r="83" spans="1:12" ht="24" customHeight="1">
      <c r="B83" s="296" t="s">
        <v>71</v>
      </c>
      <c r="C83" s="297" t="s">
        <v>72</v>
      </c>
      <c r="D83" s="297" t="s">
        <v>51</v>
      </c>
      <c r="E83" s="297" t="s">
        <v>83</v>
      </c>
      <c r="F83" s="297"/>
      <c r="G83" s="298" t="s">
        <v>50</v>
      </c>
      <c r="H83" s="298" t="s">
        <v>73</v>
      </c>
      <c r="I83" s="298" t="s">
        <v>74</v>
      </c>
      <c r="J83" s="298" t="s">
        <v>75</v>
      </c>
      <c r="K83" s="298" t="s">
        <v>76</v>
      </c>
      <c r="L83" s="82"/>
    </row>
    <row r="84" spans="1:12">
      <c r="B84" s="14" t="s">
        <v>363</v>
      </c>
      <c r="C84" s="92">
        <f>C$14</f>
        <v>0</v>
      </c>
      <c r="D84" s="257" t="s">
        <v>364</v>
      </c>
      <c r="L84" s="73"/>
    </row>
    <row r="85" spans="1:12" ht="13">
      <c r="B85" s="14" t="s">
        <v>365</v>
      </c>
      <c r="C85" s="304">
        <f>C84</f>
        <v>0</v>
      </c>
      <c r="D85" s="257" t="s">
        <v>364</v>
      </c>
      <c r="E85" s="77" t="s">
        <v>366</v>
      </c>
      <c r="G85" s="38">
        <f>IF(E85=Small_turbine,'Cost Schedule'!C435,'Cost Schedule'!C436)</f>
        <v>37646.400000000001</v>
      </c>
      <c r="H85" s="72"/>
      <c r="I85" s="39">
        <f>IF(H85="",G85,H85)</f>
        <v>37646.400000000001</v>
      </c>
      <c r="J85" s="257" t="s">
        <v>367</v>
      </c>
      <c r="K85" s="45">
        <f>I85*C85</f>
        <v>0</v>
      </c>
      <c r="L85" s="73"/>
    </row>
    <row r="86" spans="1:12" ht="13">
      <c r="B86" s="14" t="s">
        <v>368</v>
      </c>
      <c r="C86" s="92">
        <f>C84</f>
        <v>0</v>
      </c>
      <c r="D86" s="257" t="s">
        <v>369</v>
      </c>
      <c r="E86" s="321" t="str">
        <f>E85</f>
        <v>Large turbine</v>
      </c>
      <c r="G86" s="38">
        <f>IF(E86=Small_turbine,'Cost Schedule'!C437,'Cost Schedule'!C438)</f>
        <v>30804.239999999998</v>
      </c>
      <c r="H86" s="72"/>
      <c r="I86" s="39">
        <f>IF(H86="",G86,H86)</f>
        <v>30804.239999999998</v>
      </c>
      <c r="J86" s="257" t="s">
        <v>367</v>
      </c>
      <c r="K86" s="45">
        <f>I86*C86</f>
        <v>0</v>
      </c>
      <c r="L86" s="73"/>
    </row>
    <row r="87" spans="1:12">
      <c r="B87" s="14" t="s">
        <v>370</v>
      </c>
      <c r="C87" s="318">
        <f>_xlfn.XLOOKUP(C$13,Turbine_models,Turbine_blade_mass)</f>
        <v>0</v>
      </c>
      <c r="D87" s="257" t="s">
        <v>243</v>
      </c>
      <c r="L87" s="73"/>
    </row>
    <row r="88" spans="1:12">
      <c r="B88" s="14" t="s">
        <v>371</v>
      </c>
      <c r="C88" s="293">
        <f>C87*C$14</f>
        <v>0</v>
      </c>
      <c r="D88" s="257" t="s">
        <v>243</v>
      </c>
      <c r="L88" s="73"/>
    </row>
    <row r="89" spans="1:12">
      <c r="B89" s="14" t="s">
        <v>256</v>
      </c>
      <c r="C89" s="55">
        <f>_xlfn.XLOOKUP(E89,Blades_hub_haul_unload_names_UR,Blades_haul_unload_distance_avg)</f>
        <v>47.5</v>
      </c>
      <c r="D89" s="257" t="s">
        <v>86</v>
      </c>
      <c r="E89" s="77" t="s">
        <v>372</v>
      </c>
      <c r="L89" s="73"/>
    </row>
    <row r="90" spans="1:12" ht="13">
      <c r="B90" s="14" t="s">
        <v>373</v>
      </c>
      <c r="C90" s="295">
        <f>C89*$C$14</f>
        <v>0</v>
      </c>
      <c r="D90" s="257" t="s">
        <v>374</v>
      </c>
      <c r="G90" s="47">
        <f>_xlfn.XLOOKUP(E89,Blades_hub_haul_unload_names_UR,Blades_hub_haul_unload_rates_UR)</f>
        <v>3.6216839677047288</v>
      </c>
      <c r="H90" s="72"/>
      <c r="I90" s="48">
        <f>IF(H90="",G90,H90)</f>
        <v>3.6216839677047288</v>
      </c>
      <c r="J90" s="257" t="s">
        <v>374</v>
      </c>
      <c r="K90" s="45">
        <f>I90*C90</f>
        <v>0</v>
      </c>
      <c r="L90" s="73"/>
    </row>
    <row r="91" spans="1:12" ht="13">
      <c r="B91" s="56" t="s">
        <v>259</v>
      </c>
      <c r="C91" s="285">
        <f>C88</f>
        <v>0</v>
      </c>
      <c r="D91" s="257" t="s">
        <v>243</v>
      </c>
      <c r="E91" s="77" t="s">
        <v>375</v>
      </c>
      <c r="G91" s="47">
        <f>_xlfn.XLOOKUP(E91,Rates!B132:B133,Rates!D132:D133)</f>
        <v>250</v>
      </c>
      <c r="H91" s="72"/>
      <c r="I91" s="48">
        <f>IF(H91="",G91,H91)</f>
        <v>250</v>
      </c>
      <c r="J91" s="257" t="s">
        <v>376</v>
      </c>
      <c r="K91" s="45">
        <f>I91*C91</f>
        <v>0</v>
      </c>
      <c r="L91" s="73"/>
    </row>
    <row r="92" spans="1:12" ht="13">
      <c r="B92" s="56" t="s">
        <v>261</v>
      </c>
      <c r="C92" s="285">
        <f>C91</f>
        <v>0</v>
      </c>
      <c r="D92" s="257" t="s">
        <v>243</v>
      </c>
      <c r="E92" s="77" t="s">
        <v>262</v>
      </c>
      <c r="G92" s="47">
        <f>_xlfn.XLOOKUP(E92,Waste_levy_names,Waste_levy_rates)</f>
        <v>83</v>
      </c>
      <c r="H92" s="72"/>
      <c r="I92" s="48">
        <f>IF(H92="",G92,H92)</f>
        <v>83</v>
      </c>
      <c r="J92" s="257" t="s">
        <v>376</v>
      </c>
      <c r="K92" s="45">
        <f>I92*C92</f>
        <v>0</v>
      </c>
      <c r="L92" s="70"/>
    </row>
    <row r="93" spans="1:12">
      <c r="C93" s="314"/>
      <c r="L93" s="73"/>
    </row>
    <row r="94" spans="1:12" ht="13">
      <c r="B94" s="302" t="str">
        <f>B$24</f>
        <v>Totals</v>
      </c>
      <c r="C94" s="304">
        <f>C84</f>
        <v>0</v>
      </c>
      <c r="D94" s="257" t="s">
        <v>364</v>
      </c>
      <c r="H94" s="275" t="s">
        <v>377</v>
      </c>
      <c r="I94" s="39">
        <f>IF(C94=0,0,K94/C94)</f>
        <v>0</v>
      </c>
      <c r="J94" s="266" t="s">
        <v>378</v>
      </c>
      <c r="K94" s="43">
        <f>SUM(K83:K93)</f>
        <v>0</v>
      </c>
      <c r="L94" s="70"/>
    </row>
    <row r="95" spans="1:12">
      <c r="L95" s="70"/>
    </row>
    <row r="96" spans="1:12" ht="13">
      <c r="A96" s="238"/>
      <c r="B96" s="217" t="s">
        <v>379</v>
      </c>
      <c r="C96" s="217"/>
      <c r="D96" s="217"/>
      <c r="E96" s="217"/>
      <c r="F96" s="217"/>
      <c r="G96" s="217"/>
      <c r="H96" s="217"/>
      <c r="I96" s="217"/>
      <c r="J96" s="217"/>
      <c r="K96" s="217"/>
      <c r="L96" s="217"/>
    </row>
    <row r="97" spans="1:12" ht="24" customHeight="1">
      <c r="B97" s="296" t="s">
        <v>71</v>
      </c>
      <c r="C97" s="297" t="s">
        <v>72</v>
      </c>
      <c r="D97" s="297" t="s">
        <v>51</v>
      </c>
      <c r="E97" s="297" t="s">
        <v>83</v>
      </c>
      <c r="F97" s="297"/>
      <c r="G97" s="298" t="s">
        <v>50</v>
      </c>
      <c r="H97" s="298" t="s">
        <v>73</v>
      </c>
      <c r="I97" s="298" t="s">
        <v>74</v>
      </c>
      <c r="J97" s="298" t="s">
        <v>75</v>
      </c>
      <c r="K97" s="298" t="s">
        <v>76</v>
      </c>
      <c r="L97" s="82"/>
    </row>
    <row r="98" spans="1:12">
      <c r="B98" s="14" t="s">
        <v>380</v>
      </c>
      <c r="C98" s="92">
        <f>C$14</f>
        <v>0</v>
      </c>
      <c r="D98" s="257" t="s">
        <v>381</v>
      </c>
      <c r="L98" s="73"/>
    </row>
    <row r="99" spans="1:12" ht="13">
      <c r="B99" s="14" t="s">
        <v>382</v>
      </c>
      <c r="C99" s="304">
        <f>C98</f>
        <v>0</v>
      </c>
      <c r="D99" s="257" t="s">
        <v>381</v>
      </c>
      <c r="E99" s="321" t="str">
        <f>E85</f>
        <v>Large turbine</v>
      </c>
      <c r="G99" s="38">
        <f>IF(E99=Small_turbine,'Cost Schedule'!C439,'Cost Schedule'!C440)</f>
        <v>38534.399999999994</v>
      </c>
      <c r="H99" s="72"/>
      <c r="I99" s="39">
        <f>IF(H99="",G99,H99)</f>
        <v>38534.399999999994</v>
      </c>
      <c r="J99" s="257" t="s">
        <v>383</v>
      </c>
      <c r="K99" s="45">
        <f>I99*C99</f>
        <v>0</v>
      </c>
      <c r="L99" s="73"/>
    </row>
    <row r="100" spans="1:12">
      <c r="B100" s="37" t="s">
        <v>384</v>
      </c>
      <c r="C100" s="318">
        <f>_xlfn.XLOOKUP(C$13,Turbine_models,Turbine_nacelle_mass)</f>
        <v>0</v>
      </c>
      <c r="D100" s="257" t="s">
        <v>243</v>
      </c>
      <c r="L100" s="73"/>
    </row>
    <row r="101" spans="1:12">
      <c r="B101" s="37" t="s">
        <v>385</v>
      </c>
      <c r="C101" s="293">
        <f>C100*C$14</f>
        <v>0</v>
      </c>
      <c r="D101" s="257" t="s">
        <v>243</v>
      </c>
      <c r="L101" s="73"/>
    </row>
    <row r="102" spans="1:12">
      <c r="B102" s="14" t="s">
        <v>256</v>
      </c>
      <c r="C102" s="55">
        <f>_xlfn.XLOOKUP(E103,Nacelles_haul_unload_names_UR,Nacelles_haul_unload_distance_avg)</f>
        <v>27.5</v>
      </c>
      <c r="D102" s="257" t="s">
        <v>86</v>
      </c>
      <c r="L102" s="73"/>
    </row>
    <row r="103" spans="1:12" ht="13">
      <c r="B103" s="14" t="s">
        <v>257</v>
      </c>
      <c r="C103" s="295">
        <f>C102*$C$14</f>
        <v>0</v>
      </c>
      <c r="D103" s="257" t="s">
        <v>386</v>
      </c>
      <c r="E103" s="77" t="s">
        <v>387</v>
      </c>
      <c r="G103" s="47">
        <f>_xlfn.XLOOKUP(E103,Nacelles_haul_unload_names_UR,Nacelles_haul_unload_rates_UR)</f>
        <v>1.2342708333333332</v>
      </c>
      <c r="H103" s="72"/>
      <c r="I103" s="48">
        <f>IF(H103="",G103,H103)</f>
        <v>1.2342708333333332</v>
      </c>
      <c r="J103" s="257" t="s">
        <v>386</v>
      </c>
      <c r="K103" s="45">
        <f>I103*C103</f>
        <v>0</v>
      </c>
      <c r="L103" s="73"/>
    </row>
    <row r="104" spans="1:12" ht="13">
      <c r="B104" s="56" t="s">
        <v>259</v>
      </c>
      <c r="C104" s="285">
        <f>C101</f>
        <v>0</v>
      </c>
      <c r="D104" s="257" t="s">
        <v>243</v>
      </c>
      <c r="E104" s="80" t="str">
        <f>Rates!$B$122</f>
        <v>Disposal (gate fee) steel</v>
      </c>
      <c r="G104" s="47">
        <f>Disposal_gate_fee_Steel</f>
        <v>0</v>
      </c>
      <c r="H104" s="72"/>
      <c r="I104" s="48">
        <f>IF(H104="",G104,H104)</f>
        <v>0</v>
      </c>
      <c r="J104" s="257" t="s">
        <v>243</v>
      </c>
      <c r="K104" s="45">
        <f>I104*C104</f>
        <v>0</v>
      </c>
      <c r="L104" s="73"/>
    </row>
    <row r="105" spans="1:12" ht="13">
      <c r="B105" s="56" t="s">
        <v>261</v>
      </c>
      <c r="C105" s="285">
        <f>C101</f>
        <v>0</v>
      </c>
      <c r="D105" s="257" t="s">
        <v>243</v>
      </c>
      <c r="E105" s="77" t="s">
        <v>262</v>
      </c>
      <c r="G105" s="47">
        <f>_xlfn.XLOOKUP(E105,Waste_levy_names,Waste_levy_rates)</f>
        <v>83</v>
      </c>
      <c r="H105" s="72"/>
      <c r="I105" s="48">
        <f>IF(H105="",G105,H105)</f>
        <v>83</v>
      </c>
      <c r="J105" s="257" t="s">
        <v>243</v>
      </c>
      <c r="K105" s="45">
        <f>I105*C105</f>
        <v>0</v>
      </c>
      <c r="L105" s="70"/>
    </row>
    <row r="106" spans="1:12">
      <c r="C106" s="314"/>
      <c r="L106" s="73"/>
    </row>
    <row r="107" spans="1:12" ht="13">
      <c r="B107" s="302" t="str">
        <f>B$24</f>
        <v>Totals</v>
      </c>
      <c r="C107" s="304">
        <f>C98</f>
        <v>0</v>
      </c>
      <c r="D107" s="257" t="s">
        <v>381</v>
      </c>
      <c r="H107" s="275" t="s">
        <v>388</v>
      </c>
      <c r="I107" s="39">
        <f>IF(C107=0,0,K107/C107)</f>
        <v>0</v>
      </c>
      <c r="J107" s="266" t="s">
        <v>378</v>
      </c>
      <c r="K107" s="43">
        <f>SUM(K97:K106)</f>
        <v>0</v>
      </c>
      <c r="L107" s="70"/>
    </row>
    <row r="108" spans="1:12">
      <c r="L108" s="70"/>
    </row>
    <row r="109" spans="1:12" ht="13">
      <c r="A109" s="238"/>
      <c r="B109" s="217" t="s">
        <v>389</v>
      </c>
      <c r="C109" s="217"/>
      <c r="D109" s="217"/>
      <c r="E109" s="217"/>
      <c r="F109" s="217"/>
      <c r="G109" s="217"/>
      <c r="H109" s="217"/>
      <c r="I109" s="217"/>
      <c r="J109" s="217"/>
      <c r="K109" s="217"/>
      <c r="L109" s="217"/>
    </row>
    <row r="110" spans="1:12" ht="24" customHeight="1">
      <c r="B110" s="296" t="s">
        <v>71</v>
      </c>
      <c r="C110" s="297" t="s">
        <v>72</v>
      </c>
      <c r="D110" s="297" t="s">
        <v>51</v>
      </c>
      <c r="E110" s="297" t="s">
        <v>83</v>
      </c>
      <c r="F110" s="297"/>
      <c r="G110" s="298" t="s">
        <v>50</v>
      </c>
      <c r="H110" s="298" t="s">
        <v>73</v>
      </c>
      <c r="I110" s="298" t="s">
        <v>74</v>
      </c>
      <c r="J110" s="298" t="s">
        <v>75</v>
      </c>
      <c r="K110" s="298" t="s">
        <v>76</v>
      </c>
      <c r="L110" s="82"/>
    </row>
    <row r="111" spans="1:12" ht="13">
      <c r="B111" s="37" t="s">
        <v>390</v>
      </c>
      <c r="C111" s="318">
        <f>_xlfn.XLOOKUP(C$13,Turbine_models,Turbine_tower_height)</f>
        <v>0</v>
      </c>
      <c r="D111" s="257" t="s">
        <v>227</v>
      </c>
      <c r="E111" s="321" t="str">
        <f>E85</f>
        <v>Large turbine</v>
      </c>
      <c r="G111" s="38">
        <f>IF(E111=Small_turbine,'Cost Schedule'!C441,'Cost Schedule'!C442)</f>
        <v>57801.599999999991</v>
      </c>
      <c r="H111" s="72"/>
      <c r="I111" s="39">
        <f>IF(H111="",G111,H111)</f>
        <v>57801.599999999991</v>
      </c>
      <c r="J111" s="257" t="s">
        <v>391</v>
      </c>
      <c r="K111" s="45">
        <f>I111*C111</f>
        <v>0</v>
      </c>
      <c r="L111" s="73"/>
    </row>
    <row r="112" spans="1:12">
      <c r="B112" s="37" t="s">
        <v>392</v>
      </c>
      <c r="C112" s="92">
        <f>ROUNDUP(C111/Turbine_tower_section_length,0)</f>
        <v>0</v>
      </c>
      <c r="D112" s="257" t="s">
        <v>393</v>
      </c>
      <c r="L112" s="73"/>
    </row>
    <row r="113" spans="1:12">
      <c r="B113" s="37" t="s">
        <v>394</v>
      </c>
      <c r="C113" s="295">
        <f>C112*C$14</f>
        <v>0</v>
      </c>
      <c r="D113" s="257" t="s">
        <v>393</v>
      </c>
      <c r="L113" s="73"/>
    </row>
    <row r="114" spans="1:12">
      <c r="B114" s="37" t="s">
        <v>395</v>
      </c>
      <c r="C114" s="318">
        <f>_xlfn.XLOOKUP(C$13,Turbine_models,Turbine_tower_mass)</f>
        <v>0</v>
      </c>
      <c r="D114" s="257" t="s">
        <v>243</v>
      </c>
      <c r="L114" s="73"/>
    </row>
    <row r="115" spans="1:12">
      <c r="B115" s="37" t="s">
        <v>396</v>
      </c>
      <c r="C115" s="293">
        <f>C114*C$14</f>
        <v>0</v>
      </c>
      <c r="D115" s="257" t="s">
        <v>243</v>
      </c>
      <c r="L115" s="73"/>
    </row>
    <row r="116" spans="1:12">
      <c r="B116" s="14" t="s">
        <v>256</v>
      </c>
      <c r="C116" s="55">
        <f>_xlfn.XLOOKUP(E117,Towers_haul_unload_names_UR,Towers_haul_unload_distance_avg)</f>
        <v>32.5</v>
      </c>
      <c r="D116" s="257" t="s">
        <v>86</v>
      </c>
      <c r="L116" s="73"/>
    </row>
    <row r="117" spans="1:12" ht="13">
      <c r="B117" s="14" t="s">
        <v>257</v>
      </c>
      <c r="C117" s="295">
        <f>C116*$C$14</f>
        <v>0</v>
      </c>
      <c r="D117" s="257" t="s">
        <v>397</v>
      </c>
      <c r="E117" s="77" t="s">
        <v>398</v>
      </c>
      <c r="G117" s="47">
        <f>_xlfn.XLOOKUP(E117,Towers_haul_unload_names_UR,Towers_haul_unload_rates_UR)</f>
        <v>9.6935416666666665</v>
      </c>
      <c r="H117" s="72"/>
      <c r="I117" s="48">
        <f>IF(H117="",G117,H117)</f>
        <v>9.6935416666666665</v>
      </c>
      <c r="J117" s="257" t="s">
        <v>397</v>
      </c>
      <c r="K117" s="45">
        <f>I117*C117</f>
        <v>0</v>
      </c>
      <c r="L117" s="73"/>
    </row>
    <row r="118" spans="1:12" ht="13">
      <c r="B118" s="56" t="s">
        <v>259</v>
      </c>
      <c r="C118" s="293">
        <f>C115</f>
        <v>0</v>
      </c>
      <c r="D118" s="257" t="s">
        <v>243</v>
      </c>
      <c r="E118" s="80" t="str">
        <f>Rates!$B$122</f>
        <v>Disposal (gate fee) steel</v>
      </c>
      <c r="G118" s="47">
        <f>Disposal_gate_fee_Steel</f>
        <v>0</v>
      </c>
      <c r="H118" s="72"/>
      <c r="I118" s="48">
        <f>IF(H118="",G118,H118)</f>
        <v>0</v>
      </c>
      <c r="J118" s="257" t="s">
        <v>243</v>
      </c>
      <c r="K118" s="45">
        <f>I118*C118</f>
        <v>0</v>
      </c>
      <c r="L118" s="73"/>
    </row>
    <row r="119" spans="1:12" ht="13">
      <c r="B119" s="56" t="s">
        <v>261</v>
      </c>
      <c r="C119" s="285">
        <f>C115</f>
        <v>0</v>
      </c>
      <c r="D119" s="257" t="s">
        <v>243</v>
      </c>
      <c r="E119" s="77" t="s">
        <v>262</v>
      </c>
      <c r="G119" s="47">
        <f>_xlfn.XLOOKUP(E119,Waste_levy_names,Waste_levy_rates)</f>
        <v>83</v>
      </c>
      <c r="H119" s="72"/>
      <c r="I119" s="48">
        <f>IF(H119="",G119,H119)</f>
        <v>83</v>
      </c>
      <c r="J119" s="257" t="s">
        <v>243</v>
      </c>
      <c r="K119" s="45">
        <f>I119*C119</f>
        <v>0</v>
      </c>
      <c r="L119" s="70"/>
    </row>
    <row r="120" spans="1:12">
      <c r="C120" s="301"/>
      <c r="L120" s="73"/>
    </row>
    <row r="121" spans="1:12" ht="13">
      <c r="B121" s="302" t="str">
        <f>B$24</f>
        <v>Totals</v>
      </c>
      <c r="C121" s="293">
        <f>C111*C$14</f>
        <v>0</v>
      </c>
      <c r="D121" s="257" t="s">
        <v>227</v>
      </c>
      <c r="H121" s="275" t="s">
        <v>399</v>
      </c>
      <c r="I121" s="39">
        <f>IF(C121=0,0,K121/C121)</f>
        <v>0</v>
      </c>
      <c r="J121" s="266" t="s">
        <v>378</v>
      </c>
      <c r="K121" s="43">
        <f>SUM(K110:K120)</f>
        <v>0</v>
      </c>
      <c r="L121" s="70"/>
    </row>
    <row r="122" spans="1:12">
      <c r="L122" s="70"/>
    </row>
    <row r="123" spans="1:12" ht="13">
      <c r="A123" s="238"/>
      <c r="B123" s="217" t="s">
        <v>400</v>
      </c>
      <c r="C123" s="217"/>
      <c r="D123" s="217"/>
      <c r="E123" s="217"/>
      <c r="F123" s="217"/>
      <c r="G123" s="217"/>
      <c r="H123" s="217"/>
      <c r="I123" s="217"/>
      <c r="J123" s="217"/>
      <c r="K123" s="217"/>
      <c r="L123" s="217"/>
    </row>
    <row r="124" spans="1:12" ht="24" customHeight="1">
      <c r="B124" s="296" t="s">
        <v>71</v>
      </c>
      <c r="C124" s="297" t="s">
        <v>72</v>
      </c>
      <c r="D124" s="297" t="s">
        <v>51</v>
      </c>
      <c r="E124" s="297" t="s">
        <v>83</v>
      </c>
      <c r="F124" s="297"/>
      <c r="G124" s="298" t="s">
        <v>50</v>
      </c>
      <c r="H124" s="298" t="s">
        <v>73</v>
      </c>
      <c r="I124" s="298" t="s">
        <v>74</v>
      </c>
      <c r="J124" s="298" t="s">
        <v>75</v>
      </c>
      <c r="K124" s="298" t="s">
        <v>76</v>
      </c>
      <c r="L124" s="82"/>
    </row>
    <row r="125" spans="1:12">
      <c r="B125" s="37" t="s">
        <v>401</v>
      </c>
      <c r="C125" s="318">
        <f>_xlfn.XLOOKUP(C$13,Turbine_models,Turbine_foundation_area)</f>
        <v>0</v>
      </c>
      <c r="D125" s="257" t="s">
        <v>1109</v>
      </c>
      <c r="L125" s="73"/>
    </row>
    <row r="126" spans="1:12">
      <c r="B126" s="37" t="s">
        <v>402</v>
      </c>
      <c r="C126" s="318">
        <f>_xlfn.XLOOKUP(C$13,Turbine_models,Turbine_foundation_thickness)</f>
        <v>0</v>
      </c>
      <c r="D126" s="257" t="s">
        <v>227</v>
      </c>
      <c r="L126" s="73"/>
    </row>
    <row r="127" spans="1:12">
      <c r="B127" s="37" t="s">
        <v>403</v>
      </c>
      <c r="C127" s="75">
        <v>1.5</v>
      </c>
      <c r="D127" s="257" t="s">
        <v>227</v>
      </c>
      <c r="L127" s="73"/>
    </row>
    <row r="128" spans="1:12" ht="13">
      <c r="B128" s="37" t="s">
        <v>1098</v>
      </c>
      <c r="C128" s="293">
        <f>C125*C127*C$14</f>
        <v>0</v>
      </c>
      <c r="D128" s="257" t="s">
        <v>1110</v>
      </c>
      <c r="E128" s="321" t="str">
        <f>E85</f>
        <v>Large turbine</v>
      </c>
      <c r="G128" s="47">
        <f>IF(E128=Small_turbine,Foundation_demolition_small_rate,Foundation_demolition_large_rate)</f>
        <v>17.620692050537954</v>
      </c>
      <c r="H128" s="72"/>
      <c r="I128" s="48">
        <f>IF(H128="",G128,H128)</f>
        <v>17.620692050537954</v>
      </c>
      <c r="J128" s="257" t="s">
        <v>243</v>
      </c>
      <c r="K128" s="45">
        <f>C128*I128</f>
        <v>0</v>
      </c>
      <c r="L128" s="73"/>
    </row>
    <row r="129" spans="1:12">
      <c r="B129" s="37" t="s">
        <v>404</v>
      </c>
      <c r="C129" s="293">
        <f>C128*Concrete_density</f>
        <v>0</v>
      </c>
      <c r="D129" s="257" t="s">
        <v>1111</v>
      </c>
      <c r="L129" s="73"/>
    </row>
    <row r="130" spans="1:12">
      <c r="B130" s="14" t="s">
        <v>256</v>
      </c>
      <c r="C130" s="55">
        <f>_xlfn.XLOOKUP(E131,Long_haul_names_concrete_UR,Load_haul_dump_rubble_distance_avg)</f>
        <v>42.5</v>
      </c>
      <c r="D130" s="257" t="s">
        <v>86</v>
      </c>
      <c r="L130" s="82"/>
    </row>
    <row r="131" spans="1:12" ht="13">
      <c r="B131" s="56" t="s">
        <v>1112</v>
      </c>
      <c r="C131" s="295">
        <f>C130*C129</f>
        <v>0</v>
      </c>
      <c r="D131" s="257" t="s">
        <v>99</v>
      </c>
      <c r="E131" s="77" t="s">
        <v>405</v>
      </c>
      <c r="G131" s="47">
        <f>_xlfn.XLOOKUP(E131,Long_haul_names_concrete_UR,Long_haul_rates_concrete_UR)</f>
        <v>2.6425964252116652</v>
      </c>
      <c r="H131" s="72"/>
      <c r="I131" s="48">
        <f>IF(H131="",G131,H131)</f>
        <v>2.6425964252116652</v>
      </c>
      <c r="J131" s="257" t="s">
        <v>99</v>
      </c>
      <c r="K131" s="45">
        <f>I131*C131</f>
        <v>0</v>
      </c>
      <c r="L131" s="82"/>
    </row>
    <row r="132" spans="1:12" ht="13">
      <c r="B132" s="56" t="s">
        <v>259</v>
      </c>
      <c r="C132" s="293">
        <f>C129</f>
        <v>0</v>
      </c>
      <c r="D132" s="257" t="s">
        <v>243</v>
      </c>
      <c r="E132" s="80" t="str">
        <f>Disposal_gate_fee_Construction_Debris</f>
        <v>Disposal (gate fee) construction debris</v>
      </c>
      <c r="G132" s="47">
        <f>Disposal_gate_fee_concrete_rubble_rate</f>
        <v>70</v>
      </c>
      <c r="H132" s="72"/>
      <c r="I132" s="48">
        <f>IF(H132="",G132,H132)</f>
        <v>70</v>
      </c>
      <c r="J132" s="257" t="s">
        <v>243</v>
      </c>
      <c r="K132" s="45">
        <f>I132*C132</f>
        <v>0</v>
      </c>
      <c r="L132" s="82" t="s">
        <v>1119</v>
      </c>
    </row>
    <row r="133" spans="1:12" ht="13">
      <c r="B133" s="56" t="s">
        <v>261</v>
      </c>
      <c r="C133" s="293">
        <f>C129</f>
        <v>0</v>
      </c>
      <c r="D133" s="257" t="s">
        <v>243</v>
      </c>
      <c r="E133" s="77" t="s">
        <v>262</v>
      </c>
      <c r="G133" s="47">
        <f>_xlfn.XLOOKUP(E133,Waste_levy_names,Waste_levy_rates)</f>
        <v>83</v>
      </c>
      <c r="H133" s="72"/>
      <c r="I133" s="48">
        <f>IF(H133="",G133,H133)</f>
        <v>83</v>
      </c>
      <c r="J133" s="257" t="s">
        <v>243</v>
      </c>
      <c r="K133" s="45">
        <f>I133*C133</f>
        <v>0</v>
      </c>
      <c r="L133" s="82" t="s">
        <v>1119</v>
      </c>
    </row>
    <row r="134" spans="1:12" ht="13">
      <c r="B134" s="56" t="s">
        <v>1077</v>
      </c>
      <c r="C134" s="293">
        <f>IF(C14=0,0,_xlfn.XLOOKUP(C$13,Turbine_models,Turbine_bolts))</f>
        <v>0</v>
      </c>
      <c r="D134" s="257" t="s">
        <v>1078</v>
      </c>
      <c r="G134" s="47">
        <f>'Cost Schedule'!C445</f>
        <v>1122.1858438620739</v>
      </c>
      <c r="H134" s="72"/>
      <c r="I134" s="48">
        <f>IF(H134="",G134,H134)</f>
        <v>1122.1858438620739</v>
      </c>
      <c r="J134" s="257" t="s">
        <v>243</v>
      </c>
      <c r="K134" s="45">
        <f>I134*C134</f>
        <v>0</v>
      </c>
      <c r="L134" s="82"/>
    </row>
    <row r="135" spans="1:12">
      <c r="C135" s="301"/>
      <c r="K135" s="238"/>
      <c r="L135" s="82"/>
    </row>
    <row r="136" spans="1:12" ht="13">
      <c r="B136" s="302" t="str">
        <f>B$24</f>
        <v>Totals</v>
      </c>
      <c r="C136" s="285">
        <f>C129</f>
        <v>0</v>
      </c>
      <c r="D136" s="257" t="s">
        <v>243</v>
      </c>
      <c r="H136" s="275" t="s">
        <v>406</v>
      </c>
      <c r="I136" s="50">
        <f>IF(C136=0,0,K136/C136)</f>
        <v>0</v>
      </c>
      <c r="J136" s="276" t="s">
        <v>407</v>
      </c>
      <c r="K136" s="43">
        <f>SUM(K124:K135)</f>
        <v>0</v>
      </c>
      <c r="L136" s="82"/>
    </row>
    <row r="137" spans="1:12">
      <c r="L137" s="82"/>
    </row>
    <row r="138" spans="1:12" ht="13">
      <c r="A138" s="238"/>
      <c r="B138" s="217" t="s">
        <v>143</v>
      </c>
      <c r="C138" s="217"/>
      <c r="D138" s="217"/>
      <c r="E138" s="217"/>
      <c r="F138" s="217"/>
      <c r="G138" s="217"/>
      <c r="H138" s="217"/>
      <c r="I138" s="217"/>
      <c r="J138" s="217"/>
      <c r="K138" s="217"/>
      <c r="L138" s="217"/>
    </row>
    <row r="139" spans="1:12" ht="44.5" customHeight="1">
      <c r="B139" s="267" t="s">
        <v>71</v>
      </c>
      <c r="C139" s="268" t="s">
        <v>72</v>
      </c>
      <c r="D139" s="268" t="s">
        <v>51</v>
      </c>
      <c r="E139" s="271" t="s">
        <v>83</v>
      </c>
      <c r="F139" s="271"/>
      <c r="G139" s="270" t="s">
        <v>50</v>
      </c>
      <c r="H139" s="270" t="s">
        <v>73</v>
      </c>
      <c r="I139" s="270" t="s">
        <v>74</v>
      </c>
      <c r="J139" s="270" t="s">
        <v>75</v>
      </c>
      <c r="K139" s="270" t="s">
        <v>76</v>
      </c>
      <c r="L139" s="93" t="s">
        <v>408</v>
      </c>
    </row>
    <row r="140" spans="1:12" ht="13">
      <c r="B140" s="37" t="s">
        <v>144</v>
      </c>
      <c r="C140" s="67"/>
      <c r="D140" s="257" t="s">
        <v>62</v>
      </c>
      <c r="E140" s="74" t="s">
        <v>145</v>
      </c>
      <c r="F140" s="77" t="s">
        <v>146</v>
      </c>
      <c r="G140" s="38" cm="1">
        <f t="array" ref="G140">_xlfn.XLOOKUP(1,('Cost Schedule'!$B$391:$B$408=E140)*('Cost Schedule'!$A$391:$A$408=F140),'Cost Schedule'!$C$391:$C$408)</f>
        <v>972.51262045565204</v>
      </c>
      <c r="H140" s="72"/>
      <c r="I140" s="39">
        <f t="shared" ref="I140:I157" si="5">IF(H140="",G140,H140)</f>
        <v>972.51262045565204</v>
      </c>
      <c r="J140" s="257" t="s">
        <v>62</v>
      </c>
      <c r="K140" s="51">
        <f t="shared" ref="K140:K157" si="6">I140*C140</f>
        <v>0</v>
      </c>
      <c r="L140" s="73"/>
    </row>
    <row r="141" spans="1:12" ht="13">
      <c r="B141" s="37" t="s">
        <v>147</v>
      </c>
      <c r="C141" s="67"/>
      <c r="D141" s="257" t="s">
        <v>62</v>
      </c>
      <c r="E141" s="74" t="s">
        <v>152</v>
      </c>
      <c r="F141" s="77" t="s">
        <v>146</v>
      </c>
      <c r="G141" s="38" cm="1">
        <f t="array" ref="G141">_xlfn.XLOOKUP(1,('Cost Schedule'!$B$391:$B$408=E141)*('Cost Schedule'!$A$391:$A$408=F141),'Cost Schedule'!$C$391:$C$408)</f>
        <v>1945.0252409113041</v>
      </c>
      <c r="H141" s="72"/>
      <c r="I141" s="39">
        <f t="shared" si="5"/>
        <v>1945.0252409113041</v>
      </c>
      <c r="J141" s="257" t="s">
        <v>62</v>
      </c>
      <c r="K141" s="51">
        <f t="shared" si="6"/>
        <v>0</v>
      </c>
      <c r="L141" s="73"/>
    </row>
    <row r="142" spans="1:12" ht="13">
      <c r="B142" s="37" t="s">
        <v>149</v>
      </c>
      <c r="C142" s="67"/>
      <c r="D142" s="257" t="s">
        <v>62</v>
      </c>
      <c r="E142" s="74" t="s">
        <v>156</v>
      </c>
      <c r="F142" s="77" t="s">
        <v>148</v>
      </c>
      <c r="G142" s="38" cm="1">
        <f t="array" ref="G142">_xlfn.XLOOKUP(1,('Cost Schedule'!$B$391:$B$408=E142)*('Cost Schedule'!$A$391:$A$408=F142),'Cost Schedule'!$C$391:$C$408)</f>
        <v>3222.6821279782307</v>
      </c>
      <c r="H142" s="72"/>
      <c r="I142" s="39">
        <f t="shared" si="5"/>
        <v>3222.6821279782307</v>
      </c>
      <c r="J142" s="257" t="s">
        <v>62</v>
      </c>
      <c r="K142" s="51">
        <f t="shared" si="6"/>
        <v>0</v>
      </c>
      <c r="L142" s="73"/>
    </row>
    <row r="143" spans="1:12" ht="13">
      <c r="B143" s="37" t="s">
        <v>151</v>
      </c>
      <c r="C143" s="67"/>
      <c r="D143" s="257" t="s">
        <v>62</v>
      </c>
      <c r="E143" s="74" t="s">
        <v>150</v>
      </c>
      <c r="F143" s="77" t="s">
        <v>157</v>
      </c>
      <c r="G143" s="38" cm="1">
        <f t="array" ref="G143">_xlfn.XLOOKUP(1,('Cost Schedule'!$B$391:$B$408=E143)*('Cost Schedule'!$A$391:$A$408=F143),'Cost Schedule'!$C$391:$C$408)</f>
        <v>3239.0585963988915</v>
      </c>
      <c r="H143" s="72"/>
      <c r="I143" s="39">
        <f t="shared" si="5"/>
        <v>3239.0585963988915</v>
      </c>
      <c r="J143" s="257" t="s">
        <v>62</v>
      </c>
      <c r="K143" s="51">
        <f t="shared" si="6"/>
        <v>0</v>
      </c>
      <c r="L143" s="73"/>
    </row>
    <row r="144" spans="1:12" ht="13">
      <c r="B144" s="37" t="s">
        <v>153</v>
      </c>
      <c r="C144" s="67"/>
      <c r="D144" s="257" t="s">
        <v>62</v>
      </c>
      <c r="E144" s="74" t="s">
        <v>152</v>
      </c>
      <c r="F144" s="77" t="s">
        <v>146</v>
      </c>
      <c r="G144" s="38" cm="1">
        <f t="array" ref="G144">_xlfn.XLOOKUP(1,('Cost Schedule'!$B$391:$B$408=E144)*('Cost Schedule'!$A$391:$A$408=F144),'Cost Schedule'!$C$391:$C$408)</f>
        <v>1945.0252409113041</v>
      </c>
      <c r="H144" s="72"/>
      <c r="I144" s="39">
        <f t="shared" si="5"/>
        <v>1945.0252409113041</v>
      </c>
      <c r="J144" s="257" t="s">
        <v>62</v>
      </c>
      <c r="K144" s="51">
        <f t="shared" si="6"/>
        <v>0</v>
      </c>
      <c r="L144" s="73"/>
    </row>
    <row r="145" spans="2:12" ht="13">
      <c r="B145" s="37" t="s">
        <v>154</v>
      </c>
      <c r="C145" s="67"/>
      <c r="D145" s="257" t="s">
        <v>62</v>
      </c>
      <c r="E145" s="74" t="s">
        <v>152</v>
      </c>
      <c r="F145" s="77" t="s">
        <v>148</v>
      </c>
      <c r="G145" s="38" cm="1">
        <f t="array" ref="G145">_xlfn.XLOOKUP(1,('Cost Schedule'!$B$391:$B$408=E145)*('Cost Schedule'!$A$391:$A$408=F145),'Cost Schedule'!$C$391:$C$408)</f>
        <v>2659.0252409113041</v>
      </c>
      <c r="H145" s="72"/>
      <c r="I145" s="39">
        <f t="shared" si="5"/>
        <v>2659.0252409113041</v>
      </c>
      <c r="J145" s="257" t="s">
        <v>62</v>
      </c>
      <c r="K145" s="51">
        <f t="shared" si="6"/>
        <v>0</v>
      </c>
      <c r="L145" s="73"/>
    </row>
    <row r="146" spans="2:12" ht="13">
      <c r="B146" s="37" t="s">
        <v>155</v>
      </c>
      <c r="C146" s="67"/>
      <c r="D146" s="257" t="s">
        <v>62</v>
      </c>
      <c r="E146" s="74" t="s">
        <v>156</v>
      </c>
      <c r="F146" s="77" t="s">
        <v>157</v>
      </c>
      <c r="G146" s="38" cm="1">
        <f t="array" ref="G146">_xlfn.XLOOKUP(1,('Cost Schedule'!$B$391:$B$408=E146)*('Cost Schedule'!$A$391:$A$408=F146),'Cost Schedule'!$C$391:$C$408)</f>
        <v>1976.9455913838397</v>
      </c>
      <c r="H146" s="72"/>
      <c r="I146" s="39">
        <f t="shared" si="5"/>
        <v>1976.9455913838397</v>
      </c>
      <c r="J146" s="257" t="s">
        <v>62</v>
      </c>
      <c r="K146" s="51">
        <f t="shared" si="6"/>
        <v>0</v>
      </c>
      <c r="L146" s="73"/>
    </row>
    <row r="147" spans="2:12" ht="13">
      <c r="B147" s="37" t="s">
        <v>158</v>
      </c>
      <c r="C147" s="67"/>
      <c r="D147" s="257" t="s">
        <v>62</v>
      </c>
      <c r="E147" s="74" t="s">
        <v>156</v>
      </c>
      <c r="F147" s="77" t="s">
        <v>146</v>
      </c>
      <c r="G147" s="38" cm="1">
        <f t="array" ref="G147">_xlfn.XLOOKUP(1,('Cost Schedule'!$B$391:$B$408=E147)*('Cost Schedule'!$A$391:$A$408=F147),'Cost Schedule'!$C$391:$C$408)</f>
        <v>2865.6821279782307</v>
      </c>
      <c r="H147" s="72"/>
      <c r="I147" s="39">
        <f t="shared" si="5"/>
        <v>2865.6821279782307</v>
      </c>
      <c r="J147" s="257" t="s">
        <v>62</v>
      </c>
      <c r="K147" s="51">
        <f t="shared" si="6"/>
        <v>0</v>
      </c>
      <c r="L147" s="73"/>
    </row>
    <row r="148" spans="2:12" ht="13">
      <c r="B148" s="37" t="s">
        <v>159</v>
      </c>
      <c r="C148" s="67"/>
      <c r="D148" s="257" t="s">
        <v>62</v>
      </c>
      <c r="E148" s="74" t="s">
        <v>156</v>
      </c>
      <c r="F148" s="77" t="s">
        <v>148</v>
      </c>
      <c r="G148" s="38" cm="1">
        <f t="array" ref="G148">_xlfn.XLOOKUP(1,('Cost Schedule'!$B$391:$B$408=E148)*('Cost Schedule'!$A$391:$A$408=F148),'Cost Schedule'!$C$391:$C$408)</f>
        <v>3222.6821279782307</v>
      </c>
      <c r="H148" s="72"/>
      <c r="I148" s="39">
        <f t="shared" si="5"/>
        <v>3222.6821279782307</v>
      </c>
      <c r="J148" s="257" t="s">
        <v>62</v>
      </c>
      <c r="K148" s="51">
        <f t="shared" si="6"/>
        <v>0</v>
      </c>
      <c r="L148" s="73"/>
    </row>
    <row r="149" spans="2:12" ht="13">
      <c r="B149" s="37" t="s">
        <v>160</v>
      </c>
      <c r="C149" s="67"/>
      <c r="D149" s="257" t="s">
        <v>62</v>
      </c>
      <c r="E149" s="74" t="s">
        <v>161</v>
      </c>
      <c r="F149" s="77" t="s">
        <v>157</v>
      </c>
      <c r="G149" s="38" cm="1">
        <f t="array" ref="G149">_xlfn.XLOOKUP(1,('Cost Schedule'!$B$391:$B$408=E149)*('Cost Schedule'!$A$391:$A$408=F149),'Cost Schedule'!$C$391:$C$408)</f>
        <v>3953.8911827676793</v>
      </c>
      <c r="H149" s="72"/>
      <c r="I149" s="39">
        <f t="shared" si="5"/>
        <v>3953.8911827676793</v>
      </c>
      <c r="J149" s="257" t="s">
        <v>62</v>
      </c>
      <c r="K149" s="51">
        <f t="shared" si="6"/>
        <v>0</v>
      </c>
      <c r="L149" s="73"/>
    </row>
    <row r="150" spans="2:12" ht="13">
      <c r="B150" s="37" t="s">
        <v>162</v>
      </c>
      <c r="C150" s="67"/>
      <c r="D150" s="257" t="s">
        <v>62</v>
      </c>
      <c r="E150" s="74" t="s">
        <v>161</v>
      </c>
      <c r="F150" s="77" t="s">
        <v>146</v>
      </c>
      <c r="G150" s="38" cm="1">
        <f t="array" ref="G150">_xlfn.XLOOKUP(1,('Cost Schedule'!$B$391:$B$408=E150)*('Cost Schedule'!$A$391:$A$408=F150),'Cost Schedule'!$C$391:$C$408)</f>
        <v>5731.3642559564614</v>
      </c>
      <c r="H150" s="72"/>
      <c r="I150" s="39">
        <f t="shared" si="5"/>
        <v>5731.3642559564614</v>
      </c>
      <c r="J150" s="257" t="s">
        <v>62</v>
      </c>
      <c r="K150" s="51">
        <f t="shared" si="6"/>
        <v>0</v>
      </c>
      <c r="L150" s="73"/>
    </row>
    <row r="151" spans="2:12" ht="13">
      <c r="B151" s="37" t="s">
        <v>163</v>
      </c>
      <c r="C151" s="67"/>
      <c r="D151" s="257" t="s">
        <v>62</v>
      </c>
      <c r="E151" s="74" t="s">
        <v>161</v>
      </c>
      <c r="F151" s="77" t="s">
        <v>148</v>
      </c>
      <c r="G151" s="38" cm="1">
        <f t="array" ref="G151">_xlfn.XLOOKUP(1,('Cost Schedule'!$B$391:$B$408=E151)*('Cost Schedule'!$A$391:$A$408=F151),'Cost Schedule'!$C$391:$C$408)</f>
        <v>6445.3642559564614</v>
      </c>
      <c r="H151" s="72"/>
      <c r="I151" s="39">
        <f t="shared" si="5"/>
        <v>6445.3642559564614</v>
      </c>
      <c r="J151" s="257" t="s">
        <v>62</v>
      </c>
      <c r="K151" s="51">
        <f t="shared" si="6"/>
        <v>0</v>
      </c>
      <c r="L151" s="73"/>
    </row>
    <row r="152" spans="2:12" ht="13">
      <c r="B152" s="37" t="s">
        <v>164</v>
      </c>
      <c r="C152" s="67"/>
      <c r="D152" s="257" t="s">
        <v>62</v>
      </c>
      <c r="E152" s="74" t="s">
        <v>150</v>
      </c>
      <c r="F152" s="77" t="s">
        <v>157</v>
      </c>
      <c r="G152" s="38" cm="1">
        <f t="array" ref="G152">_xlfn.XLOOKUP(1,('Cost Schedule'!$B$391:$B$408=E152)*('Cost Schedule'!$A$391:$A$408=F152),'Cost Schedule'!$C$391:$C$408)</f>
        <v>3239.0585963988915</v>
      </c>
      <c r="H152" s="72"/>
      <c r="I152" s="39">
        <f t="shared" si="5"/>
        <v>3239.0585963988915</v>
      </c>
      <c r="J152" s="257" t="s">
        <v>62</v>
      </c>
      <c r="K152" s="51">
        <f t="shared" si="6"/>
        <v>0</v>
      </c>
      <c r="L152" s="73"/>
    </row>
    <row r="153" spans="2:12" ht="13">
      <c r="B153" s="37" t="s">
        <v>165</v>
      </c>
      <c r="C153" s="67"/>
      <c r="D153" s="257" t="s">
        <v>62</v>
      </c>
      <c r="E153" s="74" t="s">
        <v>150</v>
      </c>
      <c r="F153" s="77" t="s">
        <v>146</v>
      </c>
      <c r="G153" s="38" cm="1">
        <f t="array" ref="G153">_xlfn.XLOOKUP(1,('Cost Schedule'!$B$391:$B$408=E153)*('Cost Schedule'!$A$391:$A$408=F153),'Cost Schedule'!$C$391:$C$408)</f>
        <v>4127.795132993283</v>
      </c>
      <c r="H153" s="72"/>
      <c r="I153" s="39">
        <f t="shared" si="5"/>
        <v>4127.795132993283</v>
      </c>
      <c r="J153" s="257" t="s">
        <v>62</v>
      </c>
      <c r="K153" s="51">
        <f t="shared" si="6"/>
        <v>0</v>
      </c>
      <c r="L153" s="73"/>
    </row>
    <row r="154" spans="2:12" ht="13">
      <c r="B154" s="37" t="s">
        <v>166</v>
      </c>
      <c r="C154" s="67"/>
      <c r="D154" s="257" t="s">
        <v>62</v>
      </c>
      <c r="E154" s="74" t="s">
        <v>150</v>
      </c>
      <c r="F154" s="77" t="s">
        <v>148</v>
      </c>
      <c r="G154" s="38" cm="1">
        <f t="array" ref="G154">_xlfn.XLOOKUP(1,('Cost Schedule'!$B$391:$B$408=E154)*('Cost Schedule'!$A$391:$A$408=F154),'Cost Schedule'!$C$391:$C$408)</f>
        <v>4484.795132993283</v>
      </c>
      <c r="H154" s="72"/>
      <c r="I154" s="39">
        <f t="shared" si="5"/>
        <v>4484.795132993283</v>
      </c>
      <c r="J154" s="257" t="s">
        <v>62</v>
      </c>
      <c r="K154" s="51">
        <f t="shared" si="6"/>
        <v>0</v>
      </c>
      <c r="L154" s="73"/>
    </row>
    <row r="155" spans="2:12" ht="13">
      <c r="B155" s="37" t="s">
        <v>167</v>
      </c>
      <c r="C155" s="67"/>
      <c r="D155" s="257" t="s">
        <v>62</v>
      </c>
      <c r="E155" s="74" t="s">
        <v>168</v>
      </c>
      <c r="F155" s="77" t="s">
        <v>157</v>
      </c>
      <c r="G155" s="38" cm="1">
        <f t="array" ref="G155">_xlfn.XLOOKUP(1,('Cost Schedule'!$B$391:$B$408=E155)*('Cost Schedule'!$A$391:$A$408=F155),'Cost Schedule'!$C$391:$C$408)</f>
        <v>6478.117192797783</v>
      </c>
      <c r="H155" s="72"/>
      <c r="I155" s="39">
        <f t="shared" si="5"/>
        <v>6478.117192797783</v>
      </c>
      <c r="J155" s="257" t="s">
        <v>62</v>
      </c>
      <c r="K155" s="51">
        <f t="shared" si="6"/>
        <v>0</v>
      </c>
      <c r="L155" s="73"/>
    </row>
    <row r="156" spans="2:12" ht="13">
      <c r="B156" s="37" t="s">
        <v>169</v>
      </c>
      <c r="C156" s="67"/>
      <c r="D156" s="257" t="s">
        <v>62</v>
      </c>
      <c r="E156" s="74" t="s">
        <v>168</v>
      </c>
      <c r="F156" s="77" t="s">
        <v>146</v>
      </c>
      <c r="G156" s="38" cm="1">
        <f t="array" ref="G156">_xlfn.XLOOKUP(1,('Cost Schedule'!$B$391:$B$408=E156)*('Cost Schedule'!$A$391:$A$408=F156),'Cost Schedule'!$C$391:$C$408)</f>
        <v>8255.590265986566</v>
      </c>
      <c r="H156" s="72"/>
      <c r="I156" s="39">
        <f t="shared" si="5"/>
        <v>8255.590265986566</v>
      </c>
      <c r="J156" s="257" t="s">
        <v>62</v>
      </c>
      <c r="K156" s="51">
        <f t="shared" si="6"/>
        <v>0</v>
      </c>
      <c r="L156" s="73"/>
    </row>
    <row r="157" spans="2:12" ht="13">
      <c r="B157" s="37" t="s">
        <v>170</v>
      </c>
      <c r="C157" s="67"/>
      <c r="D157" s="257" t="s">
        <v>62</v>
      </c>
      <c r="E157" s="74" t="s">
        <v>168</v>
      </c>
      <c r="F157" s="77" t="s">
        <v>148</v>
      </c>
      <c r="G157" s="38" cm="1">
        <f t="array" ref="G157">_xlfn.XLOOKUP(1,('Cost Schedule'!$B$391:$B$408=E157)*('Cost Schedule'!$A$391:$A$408=F157),'Cost Schedule'!$C$391:$C$408)</f>
        <v>8969.590265986566</v>
      </c>
      <c r="H157" s="72"/>
      <c r="I157" s="39">
        <f t="shared" si="5"/>
        <v>8969.590265986566</v>
      </c>
      <c r="J157" s="257" t="s">
        <v>62</v>
      </c>
      <c r="K157" s="51">
        <f t="shared" si="6"/>
        <v>0</v>
      </c>
      <c r="L157" s="73"/>
    </row>
    <row r="158" spans="2:12">
      <c r="C158" s="301"/>
      <c r="I158" s="273"/>
      <c r="L158" s="70"/>
    </row>
    <row r="159" spans="2:12" ht="13">
      <c r="B159" s="302" t="str">
        <f>B$24</f>
        <v>Totals</v>
      </c>
      <c r="C159" s="285">
        <f>SUM(C140:C157)</f>
        <v>0</v>
      </c>
      <c r="D159" s="257" t="s">
        <v>62</v>
      </c>
      <c r="H159" s="275" t="s">
        <v>171</v>
      </c>
      <c r="I159" s="50">
        <f>IF(C159=0,0,K159/C159)</f>
        <v>0</v>
      </c>
      <c r="J159" s="276" t="s">
        <v>249</v>
      </c>
      <c r="K159" s="43">
        <f>SUM(K139:K158)</f>
        <v>0</v>
      </c>
      <c r="L159" s="73"/>
    </row>
    <row r="160" spans="2:12">
      <c r="L160" s="70"/>
    </row>
    <row r="161" spans="1:12" ht="13">
      <c r="A161" s="238"/>
      <c r="B161" s="217" t="s">
        <v>173</v>
      </c>
      <c r="C161" s="217"/>
      <c r="D161" s="217"/>
      <c r="E161" s="217"/>
      <c r="F161" s="217"/>
      <c r="G161" s="217"/>
      <c r="H161" s="217"/>
      <c r="I161" s="217"/>
      <c r="J161" s="217"/>
      <c r="K161" s="217"/>
      <c r="L161" s="217"/>
    </row>
    <row r="162" spans="1:12" ht="18" customHeight="1">
      <c r="B162" s="267" t="s">
        <v>71</v>
      </c>
      <c r="C162" s="268" t="s">
        <v>72</v>
      </c>
      <c r="D162" s="268" t="s">
        <v>51</v>
      </c>
      <c r="E162" s="271" t="s">
        <v>83</v>
      </c>
      <c r="F162" s="271"/>
      <c r="G162" s="270" t="s">
        <v>50</v>
      </c>
      <c r="H162" s="270" t="s">
        <v>73</v>
      </c>
      <c r="I162" s="270" t="s">
        <v>74</v>
      </c>
      <c r="J162" s="270" t="s">
        <v>75</v>
      </c>
      <c r="K162" s="270" t="s">
        <v>76</v>
      </c>
      <c r="L162" s="70"/>
    </row>
    <row r="163" spans="1:12" ht="13">
      <c r="B163" s="37" t="s">
        <v>174</v>
      </c>
      <c r="C163" s="67"/>
      <c r="D163" s="257" t="s">
        <v>62</v>
      </c>
      <c r="E163" s="74" t="s">
        <v>175</v>
      </c>
      <c r="F163" s="77" t="s">
        <v>148</v>
      </c>
      <c r="G163" s="38" cm="1">
        <f t="array" ref="G163">_xlfn.XLOOKUP(1,('Cost Schedule'!$B$212:$B$220=E163)*('Cost Schedule'!$A$212:$A$220=F163),'Cost Schedule'!$C$212:$C$220)</f>
        <v>4785.51258101035</v>
      </c>
      <c r="H163" s="72"/>
      <c r="I163" s="39">
        <f t="shared" ref="I163:I172" si="7">IF(H163="",G163,H163)</f>
        <v>4785.51258101035</v>
      </c>
      <c r="J163" s="257" t="s">
        <v>62</v>
      </c>
      <c r="K163" s="45">
        <f t="shared" ref="K163:K172" si="8">I163*C163</f>
        <v>0</v>
      </c>
      <c r="L163" s="73"/>
    </row>
    <row r="164" spans="1:12" ht="13">
      <c r="B164" s="37" t="s">
        <v>176</v>
      </c>
      <c r="C164" s="67"/>
      <c r="D164" s="257" t="s">
        <v>62</v>
      </c>
      <c r="E164" s="74" t="s">
        <v>177</v>
      </c>
      <c r="F164" s="77" t="s">
        <v>157</v>
      </c>
      <c r="G164" s="38" cm="1">
        <f t="array" ref="G164">_xlfn.XLOOKUP(1,('Cost Schedule'!$B$212:$B$220=E164)*('Cost Schedule'!$A$212:$A$220=F164),'Cost Schedule'!$C$212:$C$220)</f>
        <v>13254.187509179572</v>
      </c>
      <c r="H164" s="72"/>
      <c r="I164" s="39">
        <f t="shared" si="7"/>
        <v>13254.187509179572</v>
      </c>
      <c r="J164" s="257" t="s">
        <v>62</v>
      </c>
      <c r="K164" s="45">
        <f t="shared" si="8"/>
        <v>0</v>
      </c>
      <c r="L164" s="73"/>
    </row>
    <row r="165" spans="1:12" ht="13">
      <c r="B165" s="37" t="s">
        <v>178</v>
      </c>
      <c r="C165" s="67"/>
      <c r="D165" s="257" t="s">
        <v>62</v>
      </c>
      <c r="E165" s="74" t="s">
        <v>179</v>
      </c>
      <c r="F165" s="77" t="s">
        <v>148</v>
      </c>
      <c r="G165" s="38" cm="1">
        <f t="array" ref="G165">_xlfn.XLOOKUP(1,('Cost Schedule'!$B$212:$B$220=E165)*('Cost Schedule'!$A$212:$A$220=F165),'Cost Schedule'!$C$212:$C$220)</f>
        <v>51738.299644863699</v>
      </c>
      <c r="H165" s="72"/>
      <c r="I165" s="39">
        <f t="shared" si="7"/>
        <v>51738.299644863699</v>
      </c>
      <c r="J165" s="257" t="s">
        <v>62</v>
      </c>
      <c r="K165" s="45">
        <f t="shared" si="8"/>
        <v>0</v>
      </c>
      <c r="L165" s="73"/>
    </row>
    <row r="166" spans="1:12" ht="13">
      <c r="B166" s="37" t="s">
        <v>180</v>
      </c>
      <c r="C166" s="67"/>
      <c r="D166" s="257" t="s">
        <v>62</v>
      </c>
      <c r="E166" s="74" t="s">
        <v>175</v>
      </c>
      <c r="F166" s="77" t="s">
        <v>148</v>
      </c>
      <c r="G166" s="38" cm="1">
        <f t="array" ref="G166">_xlfn.XLOOKUP(1,('Cost Schedule'!$B$212:$B$220=E166)*('Cost Schedule'!$A$212:$A$220=F166),'Cost Schedule'!$C$212:$C$220)</f>
        <v>4785.51258101035</v>
      </c>
      <c r="H166" s="72"/>
      <c r="I166" s="39">
        <f t="shared" si="7"/>
        <v>4785.51258101035</v>
      </c>
      <c r="J166" s="257" t="s">
        <v>62</v>
      </c>
      <c r="K166" s="45">
        <f t="shared" si="8"/>
        <v>0</v>
      </c>
      <c r="L166" s="73"/>
    </row>
    <row r="167" spans="1:12" ht="13">
      <c r="B167" s="37" t="s">
        <v>181</v>
      </c>
      <c r="C167" s="67"/>
      <c r="D167" s="257" t="s">
        <v>62</v>
      </c>
      <c r="E167" s="74" t="s">
        <v>175</v>
      </c>
      <c r="F167" s="77" t="s">
        <v>148</v>
      </c>
      <c r="G167" s="38" cm="1">
        <f t="array" ref="G167">_xlfn.XLOOKUP(1,('Cost Schedule'!$B$212:$B$220=E167)*('Cost Schedule'!$A$212:$A$220=F167),'Cost Schedule'!$C$212:$C$220)</f>
        <v>4785.51258101035</v>
      </c>
      <c r="H167" s="72"/>
      <c r="I167" s="39">
        <f t="shared" si="7"/>
        <v>4785.51258101035</v>
      </c>
      <c r="J167" s="257" t="s">
        <v>62</v>
      </c>
      <c r="K167" s="45">
        <f t="shared" si="8"/>
        <v>0</v>
      </c>
      <c r="L167" s="73"/>
    </row>
    <row r="168" spans="1:12" ht="13">
      <c r="B168" s="37" t="s">
        <v>182</v>
      </c>
      <c r="C168" s="67"/>
      <c r="D168" s="257" t="s">
        <v>62</v>
      </c>
      <c r="E168" s="74" t="s">
        <v>175</v>
      </c>
      <c r="F168" s="77" t="s">
        <v>148</v>
      </c>
      <c r="G168" s="38" cm="1">
        <f t="array" ref="G168">_xlfn.XLOOKUP(1,('Cost Schedule'!$B$212:$B$220=E168)*('Cost Schedule'!$A$212:$A$220=F168),'Cost Schedule'!$C$212:$C$220)</f>
        <v>4785.51258101035</v>
      </c>
      <c r="H168" s="72"/>
      <c r="I168" s="39">
        <f t="shared" si="7"/>
        <v>4785.51258101035</v>
      </c>
      <c r="J168" s="257" t="s">
        <v>62</v>
      </c>
      <c r="K168" s="45">
        <f t="shared" si="8"/>
        <v>0</v>
      </c>
      <c r="L168" s="73"/>
    </row>
    <row r="169" spans="1:12" ht="13">
      <c r="B169" s="37" t="s">
        <v>183</v>
      </c>
      <c r="C169" s="67"/>
      <c r="D169" s="257" t="s">
        <v>62</v>
      </c>
      <c r="E169" s="74" t="s">
        <v>175</v>
      </c>
      <c r="F169" s="77" t="s">
        <v>148</v>
      </c>
      <c r="G169" s="38" cm="1">
        <f t="array" ref="G169">_xlfn.XLOOKUP(1,('Cost Schedule'!$B$212:$B$220=E169)*('Cost Schedule'!$A$212:$A$220=F169),'Cost Schedule'!$C$212:$C$220)</f>
        <v>4785.51258101035</v>
      </c>
      <c r="H169" s="72"/>
      <c r="I169" s="39">
        <f t="shared" si="7"/>
        <v>4785.51258101035</v>
      </c>
      <c r="J169" s="257" t="s">
        <v>62</v>
      </c>
      <c r="K169" s="45">
        <f t="shared" si="8"/>
        <v>0</v>
      </c>
      <c r="L169" s="73"/>
    </row>
    <row r="170" spans="1:12" ht="13">
      <c r="B170" s="37" t="s">
        <v>184</v>
      </c>
      <c r="C170" s="67"/>
      <c r="D170" s="257" t="s">
        <v>62</v>
      </c>
      <c r="E170" s="74" t="s">
        <v>175</v>
      </c>
      <c r="F170" s="77" t="s">
        <v>148</v>
      </c>
      <c r="G170" s="38" cm="1">
        <f t="array" ref="G170">_xlfn.XLOOKUP(1,('Cost Schedule'!$B$212:$B$220=E170)*('Cost Schedule'!$A$212:$A$220=F170),'Cost Schedule'!$C$212:$C$220)</f>
        <v>4785.51258101035</v>
      </c>
      <c r="H170" s="72"/>
      <c r="I170" s="39">
        <f t="shared" si="7"/>
        <v>4785.51258101035</v>
      </c>
      <c r="J170" s="257" t="s">
        <v>62</v>
      </c>
      <c r="K170" s="45">
        <f t="shared" si="8"/>
        <v>0</v>
      </c>
      <c r="L170" s="73"/>
    </row>
    <row r="171" spans="1:12" ht="13">
      <c r="B171" s="37" t="s">
        <v>185</v>
      </c>
      <c r="C171" s="67"/>
      <c r="D171" s="257" t="s">
        <v>62</v>
      </c>
      <c r="E171" s="74" t="s">
        <v>175</v>
      </c>
      <c r="F171" s="77" t="s">
        <v>148</v>
      </c>
      <c r="G171" s="38" cm="1">
        <f t="array" ref="G171">_xlfn.XLOOKUP(1,('Cost Schedule'!$B$212:$B$220=E171)*('Cost Schedule'!$A$212:$A$220=F171),'Cost Schedule'!$C$212:$C$220)</f>
        <v>4785.51258101035</v>
      </c>
      <c r="H171" s="72"/>
      <c r="I171" s="39">
        <f t="shared" si="7"/>
        <v>4785.51258101035</v>
      </c>
      <c r="J171" s="257" t="s">
        <v>62</v>
      </c>
      <c r="K171" s="45">
        <f t="shared" si="8"/>
        <v>0</v>
      </c>
      <c r="L171" s="73"/>
    </row>
    <row r="172" spans="1:12" ht="13">
      <c r="B172" s="37" t="s">
        <v>409</v>
      </c>
      <c r="C172" s="67"/>
      <c r="D172" s="257" t="s">
        <v>62</v>
      </c>
      <c r="E172" s="74" t="s">
        <v>175</v>
      </c>
      <c r="F172" s="77" t="s">
        <v>148</v>
      </c>
      <c r="G172" s="38" cm="1">
        <f t="array" ref="G172">_xlfn.XLOOKUP(1,('Cost Schedule'!$B$212:$B$220=E172)*('Cost Schedule'!$A$212:$A$220=F172),'Cost Schedule'!$C$212:$C$220)</f>
        <v>4785.51258101035</v>
      </c>
      <c r="H172" s="72"/>
      <c r="I172" s="39">
        <f t="shared" si="7"/>
        <v>4785.51258101035</v>
      </c>
      <c r="J172" s="257" t="s">
        <v>62</v>
      </c>
      <c r="K172" s="45">
        <f t="shared" si="8"/>
        <v>0</v>
      </c>
      <c r="L172" s="73"/>
    </row>
    <row r="173" spans="1:12">
      <c r="C173" s="301"/>
      <c r="I173" s="273"/>
      <c r="L173" s="70"/>
    </row>
    <row r="174" spans="1:12" ht="13">
      <c r="B174" s="302" t="str">
        <f>B$24</f>
        <v>Totals</v>
      </c>
      <c r="C174" s="285">
        <f>SUM(C162:C173)</f>
        <v>0</v>
      </c>
      <c r="D174" s="257" t="s">
        <v>62</v>
      </c>
      <c r="H174" s="275" t="s">
        <v>186</v>
      </c>
      <c r="I174" s="50">
        <f>IF(C174=0,0,K174/C174)</f>
        <v>0</v>
      </c>
      <c r="J174" s="276" t="s">
        <v>249</v>
      </c>
      <c r="K174" s="43">
        <f>SUM(K162:K173)</f>
        <v>0</v>
      </c>
      <c r="L174" s="73"/>
    </row>
    <row r="175" spans="1:12">
      <c r="L175" s="70"/>
    </row>
    <row r="176" spans="1:12" ht="13">
      <c r="A176" s="238"/>
      <c r="B176" s="217" t="s">
        <v>187</v>
      </c>
      <c r="C176" s="217"/>
      <c r="D176" s="217"/>
      <c r="E176" s="217"/>
      <c r="F176" s="217"/>
      <c r="G176" s="217"/>
      <c r="H176" s="217"/>
      <c r="I176" s="217"/>
      <c r="J176" s="217"/>
      <c r="K176" s="217"/>
      <c r="L176" s="217"/>
    </row>
    <row r="177" spans="1:12" ht="18.75" customHeight="1">
      <c r="B177" s="267" t="s">
        <v>71</v>
      </c>
      <c r="C177" s="268" t="s">
        <v>72</v>
      </c>
      <c r="D177" s="268" t="s">
        <v>51</v>
      </c>
      <c r="E177" s="271" t="s">
        <v>83</v>
      </c>
      <c r="F177" s="271"/>
      <c r="G177" s="270" t="s">
        <v>50</v>
      </c>
      <c r="H177" s="270" t="s">
        <v>73</v>
      </c>
      <c r="I177" s="270" t="s">
        <v>74</v>
      </c>
      <c r="J177" s="270" t="s">
        <v>75</v>
      </c>
      <c r="K177" s="270" t="s">
        <v>76</v>
      </c>
      <c r="L177" s="70"/>
    </row>
    <row r="178" spans="1:12" ht="13">
      <c r="B178" s="37" t="s">
        <v>188</v>
      </c>
      <c r="C178" s="67"/>
      <c r="D178" s="257" t="s">
        <v>62</v>
      </c>
      <c r="E178" s="74" t="s">
        <v>189</v>
      </c>
      <c r="F178" s="77" t="s">
        <v>148</v>
      </c>
      <c r="G178" s="38" cm="1">
        <f t="array" ref="G178">_xlfn.XLOOKUP(1,('Cost Schedule'!$B$6:$B$14=E178)*('Cost Schedule'!$A$6:$A$14=F178),'Cost Schedule'!$C$6:$C$14)</f>
        <v>52219.927893482622</v>
      </c>
      <c r="H178" s="72"/>
      <c r="I178" s="39">
        <f>IF(H178="",G178,H178)</f>
        <v>52219.927893482622</v>
      </c>
      <c r="J178" s="257" t="s">
        <v>62</v>
      </c>
      <c r="K178" s="51">
        <f>I178*C178</f>
        <v>0</v>
      </c>
      <c r="L178" s="73"/>
    </row>
    <row r="179" spans="1:12" ht="13">
      <c r="B179" s="37" t="s">
        <v>190</v>
      </c>
      <c r="C179" s="67"/>
      <c r="D179" s="257" t="s">
        <v>62</v>
      </c>
      <c r="E179" s="74" t="s">
        <v>191</v>
      </c>
      <c r="F179" s="77" t="s">
        <v>148</v>
      </c>
      <c r="G179" s="38" cm="1">
        <f t="array" ref="G179">_xlfn.XLOOKUP(1,('Cost Schedule'!$B$6:$B$14=E179)*('Cost Schedule'!$A$6:$A$14=F179),'Cost Schedule'!$C$6:$C$14)</f>
        <v>14356.537743031051</v>
      </c>
      <c r="H179" s="72"/>
      <c r="I179" s="39">
        <f>IF(H179="",G179,H179)</f>
        <v>14356.537743031051</v>
      </c>
      <c r="J179" s="257" t="s">
        <v>62</v>
      </c>
      <c r="K179" s="51">
        <f>I179*C179</f>
        <v>0</v>
      </c>
      <c r="L179" s="73"/>
    </row>
    <row r="180" spans="1:12">
      <c r="C180" s="301"/>
    </row>
    <row r="181" spans="1:12" ht="13">
      <c r="B181" s="302" t="str">
        <f>B$24</f>
        <v>Totals</v>
      </c>
      <c r="C181" s="285">
        <f>SUM(C177:C180)</f>
        <v>0</v>
      </c>
      <c r="D181" s="257" t="s">
        <v>62</v>
      </c>
      <c r="H181" s="275" t="s">
        <v>192</v>
      </c>
      <c r="I181" s="50">
        <f>IF(C181=0,0,K181/C181)</f>
        <v>0</v>
      </c>
      <c r="J181" s="276" t="s">
        <v>249</v>
      </c>
      <c r="K181" s="43">
        <f>SUM(K177:K180)</f>
        <v>0</v>
      </c>
      <c r="L181" s="73"/>
    </row>
    <row r="182" spans="1:12">
      <c r="L182" s="70"/>
    </row>
    <row r="183" spans="1:12" ht="13">
      <c r="A183" s="238"/>
      <c r="B183" s="217" t="s">
        <v>193</v>
      </c>
      <c r="C183" s="217"/>
      <c r="D183" s="217"/>
      <c r="E183" s="217"/>
      <c r="F183" s="217"/>
      <c r="G183" s="217"/>
      <c r="H183" s="217"/>
      <c r="I183" s="217"/>
      <c r="J183" s="217"/>
      <c r="K183" s="217"/>
      <c r="L183" s="217"/>
    </row>
    <row r="184" spans="1:12" ht="17.25" customHeight="1">
      <c r="B184" s="267" t="s">
        <v>71</v>
      </c>
      <c r="C184" s="268" t="s">
        <v>72</v>
      </c>
      <c r="D184" s="268" t="s">
        <v>51</v>
      </c>
      <c r="E184" s="271" t="s">
        <v>83</v>
      </c>
      <c r="F184" s="271"/>
      <c r="G184" s="270" t="s">
        <v>50</v>
      </c>
      <c r="H184" s="270" t="s">
        <v>73</v>
      </c>
      <c r="I184" s="270" t="s">
        <v>74</v>
      </c>
      <c r="J184" s="270" t="s">
        <v>75</v>
      </c>
      <c r="K184" s="270" t="s">
        <v>76</v>
      </c>
      <c r="L184" s="70"/>
    </row>
    <row r="185" spans="1:12" ht="15" customHeight="1">
      <c r="B185" s="37" t="s">
        <v>194</v>
      </c>
      <c r="C185" s="67"/>
      <c r="D185" s="257" t="str">
        <f>_xlfn.XLOOKUP(E185,Buildings_by_area_names_UR,Buildings_by_area_unit_CS)</f>
        <v>m2</v>
      </c>
      <c r="E185" s="74" t="s">
        <v>195</v>
      </c>
      <c r="F185" s="271"/>
      <c r="G185" s="38">
        <f>_xlfn.XLOOKUP(E185,Buildings_by_area_names_UR,Buildings_by_area_removal_rates_UR)</f>
        <v>208.11062861557767</v>
      </c>
      <c r="H185" s="72"/>
      <c r="I185" s="39">
        <f>IF(H185="",G185,H185)</f>
        <v>208.11062861557767</v>
      </c>
      <c r="J185" s="257" t="e" cm="1">
        <f t="array" ref="J185">_xlfn.XLOOKUP(E185,Buildings_by_area_names_UR,_xlfn.ANCHORARRAY('Cost Schedule'!$D$30))</f>
        <v>#REF!</v>
      </c>
      <c r="K185" s="45">
        <f>I185*C185</f>
        <v>0</v>
      </c>
      <c r="L185" s="73"/>
    </row>
    <row r="186" spans="1:12" ht="15" customHeight="1">
      <c r="B186" s="37" t="s">
        <v>196</v>
      </c>
      <c r="C186" s="67"/>
      <c r="D186" s="257" t="str">
        <f>_xlfn.XLOOKUP(E186,Buildings_by_area_names_UR,Buildings_by_area_unit_CS)</f>
        <v>m2</v>
      </c>
      <c r="E186" s="74" t="s">
        <v>197</v>
      </c>
      <c r="F186" s="271"/>
      <c r="G186" s="38">
        <f>_xlfn.XLOOKUP(E186,Buildings_by_area_names_UR,Buildings_by_area_removal_rates_UR)</f>
        <v>94.038485216966436</v>
      </c>
      <c r="H186" s="72"/>
      <c r="I186" s="39">
        <f>IF(H186="",G186,H186)</f>
        <v>94.038485216966436</v>
      </c>
      <c r="J186" s="257" t="e" cm="1">
        <f t="array" ref="J186">_xlfn.XLOOKUP(E186,Buildings_by_area_names_UR,_xlfn.ANCHORARRAY('Cost Schedule'!$D$30))</f>
        <v>#REF!</v>
      </c>
      <c r="K186" s="45">
        <f>I186*C186</f>
        <v>0</v>
      </c>
      <c r="L186" s="70"/>
    </row>
    <row r="187" spans="1:12" ht="15" customHeight="1">
      <c r="B187" s="37" t="s">
        <v>198</v>
      </c>
      <c r="C187" s="67"/>
      <c r="D187" s="257" t="str">
        <f>_xlfn.XLOOKUP(E187,Buildings_by_area_names_UR,Buildings_by_area_unit_CS)</f>
        <v>m2</v>
      </c>
      <c r="E187" s="74" t="s">
        <v>199</v>
      </c>
      <c r="F187" s="271"/>
      <c r="G187" s="38">
        <f>_xlfn.XLOOKUP(E187,Buildings_by_area_names_UR,Buildings_by_area_removal_rates_UR)</f>
        <v>87.229587913547633</v>
      </c>
      <c r="H187" s="72"/>
      <c r="I187" s="39">
        <f>IF(H187="",G187,H187)</f>
        <v>87.229587913547633</v>
      </c>
      <c r="J187" s="257" t="e" cm="1">
        <f t="array" ref="J187">_xlfn.XLOOKUP(E187,Buildings_by_area_names_UR,_xlfn.ANCHORARRAY('Cost Schedule'!$D$30))</f>
        <v>#REF!</v>
      </c>
      <c r="K187" s="45">
        <f>I187*C187</f>
        <v>0</v>
      </c>
      <c r="L187" s="73"/>
    </row>
    <row r="188" spans="1:12" ht="15" customHeight="1">
      <c r="B188" s="37" t="s">
        <v>200</v>
      </c>
      <c r="C188" s="67"/>
      <c r="D188" s="257" t="str">
        <f>_xlfn.XLOOKUP(E188,Buildings_by_area_names_UR,Buildings_by_area_unit_CS)</f>
        <v>m2</v>
      </c>
      <c r="E188" s="74" t="s">
        <v>201</v>
      </c>
      <c r="F188" s="271"/>
      <c r="G188" s="38">
        <f>_xlfn.XLOOKUP(E188,Buildings_by_area_names_UR,Buildings_by_area_removal_rates_UR)</f>
        <v>157.40763343503909</v>
      </c>
      <c r="H188" s="72"/>
      <c r="I188" s="39">
        <f>IF(H188="",G188,H188)</f>
        <v>157.40763343503909</v>
      </c>
      <c r="J188" s="257" t="e" cm="1">
        <f t="array" ref="J188">_xlfn.XLOOKUP(E188,Buildings_by_area_names_UR,_xlfn.ANCHORARRAY('Cost Schedule'!$D$30))</f>
        <v>#REF!</v>
      </c>
      <c r="K188" s="45">
        <f>I188*C188</f>
        <v>0</v>
      </c>
      <c r="L188" s="70"/>
    </row>
    <row r="189" spans="1:12" ht="15" customHeight="1">
      <c r="B189" s="37" t="s">
        <v>202</v>
      </c>
      <c r="C189" s="67"/>
      <c r="D189" s="257" t="str">
        <f>_xlfn.XLOOKUP(E189,Buildings_by_area_names_UR,Buildings_by_area_unit_CS)</f>
        <v>m2</v>
      </c>
      <c r="E189" s="74" t="s">
        <v>195</v>
      </c>
      <c r="F189" s="271"/>
      <c r="G189" s="38">
        <f>_xlfn.XLOOKUP(E189,Buildings_by_area_names_UR,Buildings_by_area_removal_rates_UR)</f>
        <v>208.11062861557767</v>
      </c>
      <c r="H189" s="72"/>
      <c r="I189" s="39">
        <f>IF(H189="",G189,H189)</f>
        <v>208.11062861557767</v>
      </c>
      <c r="J189" s="257" t="e" cm="1">
        <f t="array" ref="J189">_xlfn.XLOOKUP(E189,Buildings_by_area_names_UR,_xlfn.ANCHORARRAY('Cost Schedule'!$D$30))</f>
        <v>#REF!</v>
      </c>
      <c r="K189" s="45">
        <f>I189*C189</f>
        <v>0</v>
      </c>
      <c r="L189" s="73"/>
    </row>
    <row r="190" spans="1:12" ht="13">
      <c r="C190" s="301"/>
      <c r="F190" s="271"/>
      <c r="L190" s="70"/>
    </row>
    <row r="191" spans="1:12" ht="13">
      <c r="B191" s="302" t="str">
        <f>B$24</f>
        <v>Totals</v>
      </c>
      <c r="C191" s="285">
        <f>SUM(C184:C190)</f>
        <v>0</v>
      </c>
      <c r="D191" s="257" t="s">
        <v>203</v>
      </c>
      <c r="H191" s="275" t="s">
        <v>204</v>
      </c>
      <c r="I191" s="50">
        <f>IF(C191=0,0,K191/C191)</f>
        <v>0</v>
      </c>
      <c r="J191" s="276" t="s">
        <v>410</v>
      </c>
      <c r="K191" s="43">
        <f>SUM(K184:K190)</f>
        <v>0</v>
      </c>
      <c r="L191" s="73"/>
    </row>
    <row r="192" spans="1:12">
      <c r="L192" s="70"/>
    </row>
    <row r="193" spans="1:12" ht="13">
      <c r="A193" s="238"/>
      <c r="B193" s="217" t="s">
        <v>206</v>
      </c>
      <c r="C193" s="217"/>
      <c r="D193" s="217"/>
      <c r="E193" s="217"/>
      <c r="F193" s="217"/>
      <c r="G193" s="217"/>
      <c r="H193" s="217"/>
      <c r="I193" s="217"/>
      <c r="J193" s="217"/>
      <c r="K193" s="217"/>
      <c r="L193" s="217"/>
    </row>
    <row r="194" spans="1:12" ht="18" customHeight="1">
      <c r="B194" s="267" t="s">
        <v>71</v>
      </c>
      <c r="C194" s="268" t="s">
        <v>72</v>
      </c>
      <c r="D194" s="268" t="s">
        <v>51</v>
      </c>
      <c r="E194" s="271" t="s">
        <v>83</v>
      </c>
      <c r="F194" s="271"/>
      <c r="G194" s="270" t="s">
        <v>50</v>
      </c>
      <c r="H194" s="270" t="s">
        <v>73</v>
      </c>
      <c r="I194" s="270" t="s">
        <v>74</v>
      </c>
      <c r="J194" s="270" t="s">
        <v>75</v>
      </c>
      <c r="K194" s="270" t="s">
        <v>76</v>
      </c>
      <c r="L194" s="70"/>
    </row>
    <row r="195" spans="1:12" ht="15" customHeight="1">
      <c r="B195" s="37" t="s">
        <v>207</v>
      </c>
      <c r="C195" s="71"/>
      <c r="D195" s="257" t="s">
        <v>1007</v>
      </c>
      <c r="E195" s="78" t="s">
        <v>208</v>
      </c>
      <c r="F195" s="271"/>
      <c r="G195" s="38">
        <f>_xlfn.XLOOKUP(E195,Buildings_by_number_names_UR,Buildings_by_number_removal_rates_UR)</f>
        <v>2116.832977994005</v>
      </c>
      <c r="H195" s="72"/>
      <c r="I195" s="39">
        <f>IF(H195="",G195,H195)</f>
        <v>2116.832977994005</v>
      </c>
      <c r="J195" s="257" t="e" cm="1">
        <f t="array" ref="J195">_xlfn.XLOOKUP(E195,Buildings_by_number_names_UR,_xlfn.ANCHORARRAY('Cost Schedule'!$D$37))</f>
        <v>#REF!</v>
      </c>
      <c r="K195" s="45">
        <f>I195*C195</f>
        <v>0</v>
      </c>
      <c r="L195" s="73"/>
    </row>
    <row r="196" spans="1:12" ht="14.25" customHeight="1">
      <c r="B196" s="37" t="s">
        <v>209</v>
      </c>
      <c r="C196" s="71"/>
      <c r="D196" s="257" t="s">
        <v>1007</v>
      </c>
      <c r="E196" s="78" t="s">
        <v>210</v>
      </c>
      <c r="F196" s="271"/>
      <c r="G196" s="38">
        <f>_xlfn.XLOOKUP(E196,Buildings_by_number_names_UR,Buildings_by_number_removal_rates_UR)</f>
        <v>1535.6089147798502</v>
      </c>
      <c r="H196" s="72"/>
      <c r="I196" s="39">
        <f>IF(H196="",G196,H196)</f>
        <v>1535.6089147798502</v>
      </c>
      <c r="J196" s="257" t="e" cm="1">
        <f t="array" ref="J196">_xlfn.XLOOKUP(E196,Buildings_by_number_names_UR,_xlfn.ANCHORARRAY('Cost Schedule'!$D$37))</f>
        <v>#REF!</v>
      </c>
      <c r="K196" s="45">
        <f>I196*C196</f>
        <v>0</v>
      </c>
      <c r="L196" s="70"/>
    </row>
    <row r="197" spans="1:12" ht="16" customHeight="1">
      <c r="B197" s="37" t="s">
        <v>211</v>
      </c>
      <c r="C197" s="71"/>
      <c r="D197" s="257" t="s">
        <v>1007</v>
      </c>
      <c r="E197" s="78" t="s">
        <v>212</v>
      </c>
      <c r="F197" s="271"/>
      <c r="G197" s="38">
        <f>_xlfn.XLOOKUP(E197,Buildings_by_number_names_UR,Buildings_by_number_removal_rates_UR)</f>
        <v>8718.1405761022397</v>
      </c>
      <c r="H197" s="72"/>
      <c r="I197" s="39">
        <f>IF(H197="",G197,H197)</f>
        <v>8718.1405761022397</v>
      </c>
      <c r="J197" s="257" t="e" cm="1">
        <f t="array" ref="J197">_xlfn.XLOOKUP(E197,Buildings_by_number_names_UR,_xlfn.ANCHORARRAY('Cost Schedule'!$D$37))</f>
        <v>#REF!</v>
      </c>
      <c r="K197" s="45">
        <f>I197*C197</f>
        <v>0</v>
      </c>
      <c r="L197" s="73"/>
    </row>
    <row r="198" spans="1:12" ht="15" customHeight="1">
      <c r="B198" s="37" t="s">
        <v>213</v>
      </c>
      <c r="C198" s="71"/>
      <c r="D198" s="257" t="s">
        <v>1007</v>
      </c>
      <c r="E198" s="78" t="s">
        <v>214</v>
      </c>
      <c r="F198" s="271"/>
      <c r="G198" s="38">
        <f>_xlfn.XLOOKUP(E198,Buildings_by_number_names_UR,Buildings_by_number_removal_rates_UR)</f>
        <v>4996.7383848157133</v>
      </c>
      <c r="H198" s="72"/>
      <c r="I198" s="39">
        <f>IF(H198="",G198,H198)</f>
        <v>4996.7383848157133</v>
      </c>
      <c r="J198" s="257" t="e" cm="1">
        <f t="array" ref="J198">_xlfn.XLOOKUP(E198,Buildings_by_number_names_UR,_xlfn.ANCHORARRAY('Cost Schedule'!$D$37))</f>
        <v>#REF!</v>
      </c>
      <c r="K198" s="45">
        <f>I198*C198</f>
        <v>0</v>
      </c>
      <c r="L198" s="70"/>
    </row>
    <row r="199" spans="1:12" ht="15" customHeight="1">
      <c r="B199" s="37" t="s">
        <v>215</v>
      </c>
      <c r="C199" s="71"/>
      <c r="D199" s="257" t="s">
        <v>1007</v>
      </c>
      <c r="E199" s="78" t="s">
        <v>210</v>
      </c>
      <c r="F199" s="271"/>
      <c r="G199" s="38">
        <f>_xlfn.XLOOKUP(E199,Buildings_by_number_names_UR,Buildings_by_number_removal_rates_UR)</f>
        <v>1535.6089147798502</v>
      </c>
      <c r="H199" s="72"/>
      <c r="I199" s="39">
        <f>IF(H199="",G199,H199)</f>
        <v>1535.6089147798502</v>
      </c>
      <c r="J199" s="257" t="e" cm="1">
        <f t="array" ref="J199">_xlfn.XLOOKUP(E199,Buildings_by_number_names_UR,_xlfn.ANCHORARRAY('Cost Schedule'!$D$37))</f>
        <v>#REF!</v>
      </c>
      <c r="K199" s="51">
        <f>I199*C199</f>
        <v>0</v>
      </c>
      <c r="L199" s="73"/>
    </row>
    <row r="200" spans="1:12" ht="13">
      <c r="C200" s="303"/>
      <c r="F200" s="271"/>
      <c r="L200" s="70"/>
    </row>
    <row r="201" spans="1:12" ht="13">
      <c r="B201" s="302" t="str">
        <f>B$24</f>
        <v>Totals</v>
      </c>
      <c r="C201" s="278">
        <f>SUM(C194:C200)</f>
        <v>0</v>
      </c>
      <c r="D201" s="257" t="s">
        <v>216</v>
      </c>
      <c r="H201" s="275" t="s">
        <v>204</v>
      </c>
      <c r="I201" s="50">
        <f>IF(C201=0,0,K201/C201)</f>
        <v>0</v>
      </c>
      <c r="J201" s="276" t="s">
        <v>217</v>
      </c>
      <c r="K201" s="43">
        <f>SUM(K194:K200)</f>
        <v>0</v>
      </c>
      <c r="L201" s="73"/>
    </row>
    <row r="202" spans="1:12">
      <c r="L202" s="70"/>
    </row>
    <row r="203" spans="1:12" ht="13">
      <c r="A203" s="238"/>
      <c r="B203" s="217" t="s">
        <v>218</v>
      </c>
      <c r="C203" s="217"/>
      <c r="D203" s="217"/>
      <c r="E203" s="217"/>
      <c r="F203" s="217"/>
      <c r="G203" s="217"/>
      <c r="H203" s="217"/>
      <c r="I203" s="217"/>
      <c r="J203" s="217"/>
      <c r="K203" s="217"/>
      <c r="L203" s="217"/>
    </row>
    <row r="204" spans="1:12" ht="22.5" customHeight="1">
      <c r="B204" s="296" t="s">
        <v>71</v>
      </c>
      <c r="C204" s="297" t="s">
        <v>72</v>
      </c>
      <c r="D204" s="297" t="s">
        <v>51</v>
      </c>
      <c r="E204" s="297" t="s">
        <v>83</v>
      </c>
      <c r="F204" s="297"/>
      <c r="G204" s="298" t="s">
        <v>50</v>
      </c>
      <c r="H204" s="298" t="s">
        <v>73</v>
      </c>
      <c r="I204" s="298" t="s">
        <v>74</v>
      </c>
      <c r="J204" s="298" t="s">
        <v>75</v>
      </c>
      <c r="K204" s="298" t="s">
        <v>76</v>
      </c>
      <c r="L204" s="82"/>
    </row>
    <row r="205" spans="1:12">
      <c r="B205" s="37" t="s">
        <v>219</v>
      </c>
      <c r="C205" s="67"/>
      <c r="D205" s="257" t="s">
        <v>62</v>
      </c>
      <c r="L205" s="82"/>
    </row>
    <row r="206" spans="1:12">
      <c r="B206" s="37" t="s">
        <v>220</v>
      </c>
      <c r="C206" s="67"/>
      <c r="D206" s="257" t="s">
        <v>62</v>
      </c>
      <c r="L206" s="82"/>
    </row>
    <row r="207" spans="1:12">
      <c r="B207" s="37" t="s">
        <v>221</v>
      </c>
      <c r="C207" s="67"/>
      <c r="D207" s="257" t="s">
        <v>62</v>
      </c>
      <c r="L207" s="82"/>
    </row>
    <row r="208" spans="1:12">
      <c r="B208" s="37" t="s">
        <v>222</v>
      </c>
      <c r="C208" s="67"/>
      <c r="D208" s="257" t="s">
        <v>62</v>
      </c>
      <c r="L208" s="82"/>
    </row>
    <row r="209" spans="1:12">
      <c r="B209" s="37" t="s">
        <v>223</v>
      </c>
      <c r="C209" s="67"/>
      <c r="D209" s="257" t="s">
        <v>62</v>
      </c>
      <c r="L209" s="82"/>
    </row>
    <row r="210" spans="1:12" ht="13">
      <c r="B210" s="37" t="s">
        <v>224</v>
      </c>
      <c r="C210" s="322">
        <f>SUM(C205:C209)</f>
        <v>0</v>
      </c>
      <c r="D210" s="257" t="s">
        <v>62</v>
      </c>
      <c r="L210" s="82"/>
    </row>
    <row r="211" spans="1:12">
      <c r="B211" s="14" t="s">
        <v>225</v>
      </c>
      <c r="C211" s="79">
        <v>1</v>
      </c>
      <c r="L211" s="82"/>
    </row>
    <row r="212" spans="1:12" ht="13">
      <c r="B212" s="37" t="s">
        <v>1320</v>
      </c>
      <c r="C212" s="322">
        <f>C210*C211</f>
        <v>0</v>
      </c>
      <c r="D212" s="257" t="s">
        <v>62</v>
      </c>
      <c r="L212" s="82"/>
    </row>
    <row r="213" spans="1:12">
      <c r="B213" s="14" t="s">
        <v>226</v>
      </c>
      <c r="C213" s="323">
        <v>0.15</v>
      </c>
      <c r="D213" s="257" t="s">
        <v>227</v>
      </c>
      <c r="L213" s="82"/>
    </row>
    <row r="214" spans="1:12">
      <c r="B214" s="14" t="s">
        <v>228</v>
      </c>
      <c r="C214" s="75"/>
      <c r="D214" s="257" t="s">
        <v>227</v>
      </c>
      <c r="L214" s="82"/>
    </row>
    <row r="215" spans="1:12">
      <c r="B215" s="14" t="s">
        <v>230</v>
      </c>
      <c r="C215" s="293">
        <f>C212*Square_metres_in_hectare*IF(C214=0,C213,C214)</f>
        <v>0</v>
      </c>
      <c r="D215" s="257" t="s">
        <v>231</v>
      </c>
      <c r="L215" s="82"/>
    </row>
    <row r="216" spans="1:12">
      <c r="B216" s="14" t="s">
        <v>232</v>
      </c>
      <c r="C216" s="79">
        <v>0</v>
      </c>
      <c r="L216" s="82"/>
    </row>
    <row r="217" spans="1:12" ht="13">
      <c r="B217" s="14" t="s">
        <v>233</v>
      </c>
      <c r="C217" s="293">
        <f>C215*C216</f>
        <v>0</v>
      </c>
      <c r="D217" s="257" t="s">
        <v>231</v>
      </c>
      <c r="E217" s="77" t="s">
        <v>411</v>
      </c>
      <c r="G217" s="47">
        <f>_xlfn.XLOOKUP(E217,Load_haul_dump_growth_media_onsite_names_UR,Load_haul_dump_growth_media_onsite_rates_UR)</f>
        <v>8.915482411949446</v>
      </c>
      <c r="H217" s="72"/>
      <c r="I217" s="48">
        <f>IF(H217="",G217,H217)</f>
        <v>8.915482411949446</v>
      </c>
      <c r="J217" s="257" t="str">
        <f>D217</f>
        <v>m3</v>
      </c>
      <c r="K217" s="45">
        <f>I217*C217</f>
        <v>0</v>
      </c>
      <c r="L217" s="82"/>
    </row>
    <row r="218" spans="1:12" ht="13">
      <c r="B218" s="14" t="s">
        <v>234</v>
      </c>
      <c r="C218" s="293">
        <f>C215-C217</f>
        <v>0</v>
      </c>
      <c r="D218" s="257" t="s">
        <v>231</v>
      </c>
      <c r="G218" s="47">
        <f>Top_soil_rate</f>
        <v>165</v>
      </c>
      <c r="H218" s="72"/>
      <c r="I218" s="48">
        <f>IF(H218="",G218,H218)</f>
        <v>165</v>
      </c>
      <c r="J218" s="257" t="str">
        <f t="shared" ref="J218:J219" si="9">D218</f>
        <v>m3</v>
      </c>
      <c r="K218" s="45">
        <f>I218*C218</f>
        <v>0</v>
      </c>
      <c r="L218" s="82"/>
    </row>
    <row r="219" spans="1:12" ht="13">
      <c r="B219" s="14" t="s">
        <v>235</v>
      </c>
      <c r="C219" s="285">
        <f>C218*_xlfn.XLOOKUP(E219,Load_haul_dump_soil_ameliorants_from_off_site_names_UR,Load_haul_dump_growth_media_distance_avg)</f>
        <v>0</v>
      </c>
      <c r="D219" s="257" t="s">
        <v>1120</v>
      </c>
      <c r="E219" s="77" t="s">
        <v>236</v>
      </c>
      <c r="G219" s="47">
        <f>_xlfn.XLOOKUP(E219,Load_haul_dump_soil_ameliorants_from_off_site_names_UR,Load_haul_dump_soil_ameliorants_from_off_site_rates_UR)</f>
        <v>0.17003460207612459</v>
      </c>
      <c r="H219" s="72"/>
      <c r="I219" s="48">
        <f>IF(H219="",G219,H219)</f>
        <v>0.17003460207612459</v>
      </c>
      <c r="J219" s="257" t="str">
        <f t="shared" si="9"/>
        <v>m3-km</v>
      </c>
      <c r="K219" s="45">
        <f>I219*C219</f>
        <v>0</v>
      </c>
      <c r="L219" s="82"/>
    </row>
    <row r="220" spans="1:12">
      <c r="C220" s="301"/>
      <c r="L220" s="82"/>
    </row>
    <row r="221" spans="1:12" ht="13">
      <c r="B221" s="302" t="str">
        <f>B$24</f>
        <v>Totals</v>
      </c>
      <c r="C221" s="285">
        <f>C212</f>
        <v>0</v>
      </c>
      <c r="D221" s="257" t="s">
        <v>62</v>
      </c>
      <c r="H221" s="275" t="s">
        <v>237</v>
      </c>
      <c r="I221" s="50">
        <f>IF(C221=0,0,K221/C221)</f>
        <v>0</v>
      </c>
      <c r="J221" s="276" t="s">
        <v>62</v>
      </c>
      <c r="K221" s="43">
        <f>SUM(K217:K219)</f>
        <v>0</v>
      </c>
      <c r="L221" s="82"/>
    </row>
    <row r="222" spans="1:12">
      <c r="L222" s="82"/>
    </row>
    <row r="223" spans="1:12" ht="13">
      <c r="A223" s="238"/>
      <c r="B223" s="217" t="s">
        <v>238</v>
      </c>
      <c r="C223" s="217"/>
      <c r="D223" s="217"/>
      <c r="E223" s="217"/>
      <c r="F223" s="217"/>
      <c r="G223" s="217"/>
      <c r="H223" s="217"/>
      <c r="I223" s="217"/>
      <c r="J223" s="217"/>
      <c r="K223" s="217"/>
      <c r="L223" s="217"/>
    </row>
    <row r="224" spans="1:12" ht="21.75" customHeight="1">
      <c r="B224" s="267" t="s">
        <v>71</v>
      </c>
      <c r="C224" s="268" t="s">
        <v>72</v>
      </c>
      <c r="D224" s="268" t="s">
        <v>51</v>
      </c>
      <c r="E224" s="271" t="s">
        <v>83</v>
      </c>
      <c r="F224" s="271"/>
      <c r="G224" s="270" t="s">
        <v>50</v>
      </c>
      <c r="H224" s="270" t="s">
        <v>73</v>
      </c>
      <c r="I224" s="270" t="s">
        <v>74</v>
      </c>
      <c r="J224" s="270" t="s">
        <v>75</v>
      </c>
      <c r="K224" s="270" t="s">
        <v>76</v>
      </c>
      <c r="L224" s="82"/>
    </row>
    <row r="225" spans="1:12">
      <c r="B225" s="37" t="s">
        <v>219</v>
      </c>
      <c r="C225" s="67"/>
      <c r="D225" s="238" t="s">
        <v>62</v>
      </c>
      <c r="L225" s="82"/>
    </row>
    <row r="226" spans="1:12">
      <c r="B226" s="37" t="s">
        <v>220</v>
      </c>
      <c r="C226" s="67"/>
      <c r="D226" s="257" t="s">
        <v>62</v>
      </c>
      <c r="L226" s="82"/>
    </row>
    <row r="227" spans="1:12">
      <c r="B227" s="37" t="s">
        <v>221</v>
      </c>
      <c r="C227" s="67"/>
      <c r="D227" s="257" t="s">
        <v>62</v>
      </c>
      <c r="L227" s="82"/>
    </row>
    <row r="228" spans="1:12">
      <c r="B228" s="37" t="s">
        <v>222</v>
      </c>
      <c r="C228" s="67"/>
      <c r="D228" s="257" t="s">
        <v>62</v>
      </c>
      <c r="L228" s="82"/>
    </row>
    <row r="229" spans="1:12">
      <c r="B229" s="37" t="s">
        <v>223</v>
      </c>
      <c r="C229" s="67"/>
      <c r="D229" s="257" t="s">
        <v>62</v>
      </c>
      <c r="L229" s="82"/>
    </row>
    <row r="230" spans="1:12" ht="13">
      <c r="B230" s="37" t="s">
        <v>224</v>
      </c>
      <c r="C230" s="322">
        <f>SUM(C225:C229)</f>
        <v>0</v>
      </c>
      <c r="D230" s="257" t="s">
        <v>62</v>
      </c>
      <c r="L230" s="82"/>
    </row>
    <row r="231" spans="1:12" ht="13">
      <c r="B231" s="14" t="s">
        <v>239</v>
      </c>
      <c r="C231" s="79">
        <v>1</v>
      </c>
      <c r="D231" s="268"/>
      <c r="L231" s="82"/>
    </row>
    <row r="232" spans="1:12" ht="13">
      <c r="B232" s="14" t="s">
        <v>240</v>
      </c>
      <c r="C232" s="322">
        <f>C230*C231</f>
        <v>0</v>
      </c>
      <c r="D232" s="257" t="s">
        <v>62</v>
      </c>
      <c r="L232" s="82"/>
    </row>
    <row r="233" spans="1:12">
      <c r="B233" s="14" t="s">
        <v>1003</v>
      </c>
      <c r="C233" s="293">
        <f>_xlfn.XLOOKUP(E234,Ameliorants_soil_names_As,Ameliorants_app_rate)</f>
        <v>2.5</v>
      </c>
      <c r="D233" s="257" t="s">
        <v>241</v>
      </c>
      <c r="L233" s="82"/>
    </row>
    <row r="234" spans="1:12" ht="13">
      <c r="B234" s="14" t="s">
        <v>242</v>
      </c>
      <c r="C234" s="293">
        <f>C232*C233</f>
        <v>0</v>
      </c>
      <c r="D234" s="257" t="s">
        <v>243</v>
      </c>
      <c r="E234" s="77" t="s">
        <v>412</v>
      </c>
      <c r="G234" s="47">
        <f>_xlfn.XLOOKUP(E234,Ameliorants_names,Ameliorants_rates)</f>
        <v>115.5</v>
      </c>
      <c r="H234" s="72"/>
      <c r="I234" s="48">
        <f>IF(H234="",G234,H234)</f>
        <v>115.5</v>
      </c>
      <c r="J234" s="257" t="str">
        <f t="shared" ref="J234:J236" si="10">D234</f>
        <v>t</v>
      </c>
      <c r="K234" s="45">
        <f>I234*C234</f>
        <v>0</v>
      </c>
      <c r="L234" s="82"/>
    </row>
    <row r="235" spans="1:12" ht="13">
      <c r="B235" s="14" t="s">
        <v>245</v>
      </c>
      <c r="C235" s="285">
        <f>C234/Soil_density*_xlfn.XLOOKUP(E235,Load_haul_dump_soil_ameliorants_from_off_site_names_UR,Load_haul_dump_growth_media_distance_avg)</f>
        <v>0</v>
      </c>
      <c r="D235" s="238" t="s">
        <v>1120</v>
      </c>
      <c r="E235" s="77" t="s">
        <v>246</v>
      </c>
      <c r="G235" s="47">
        <f>_xlfn.XLOOKUP(E235,Load_haul_dump_soil_ameliorants_from_off_site_names_UR,Load_haul_dump_soil_ameliorants_from_off_site_rates_UR)</f>
        <v>0.11200692041522493</v>
      </c>
      <c r="H235" s="72"/>
      <c r="I235" s="48">
        <f>IF(H235="",G235,H235)</f>
        <v>0.11200692041522493</v>
      </c>
      <c r="J235" s="257" t="str">
        <f t="shared" si="10"/>
        <v>m3-km</v>
      </c>
      <c r="K235" s="45">
        <f>I235*C235</f>
        <v>0</v>
      </c>
      <c r="L235" s="82"/>
    </row>
    <row r="236" spans="1:12" ht="13">
      <c r="B236" s="14" t="s">
        <v>413</v>
      </c>
      <c r="C236" s="293">
        <f>C232</f>
        <v>0</v>
      </c>
      <c r="D236" s="257" t="s">
        <v>62</v>
      </c>
      <c r="G236" s="47">
        <f>Spread_ameliorants_rate</f>
        <v>1494.3985650219167</v>
      </c>
      <c r="H236" s="72"/>
      <c r="I236" s="48">
        <f>IF(H236="",G236,H236)</f>
        <v>1494.3985650219167</v>
      </c>
      <c r="J236" s="257" t="str">
        <f t="shared" si="10"/>
        <v>ha</v>
      </c>
      <c r="K236" s="45">
        <f>I236*C236</f>
        <v>0</v>
      </c>
      <c r="L236" s="82"/>
    </row>
    <row r="237" spans="1:12">
      <c r="C237" s="301"/>
      <c r="I237" s="238"/>
      <c r="K237" s="238"/>
      <c r="L237" s="82"/>
    </row>
    <row r="238" spans="1:12" ht="13">
      <c r="B238" s="302" t="str">
        <f>B$24</f>
        <v>Totals</v>
      </c>
      <c r="C238" s="285">
        <f>C232</f>
        <v>0</v>
      </c>
      <c r="D238" s="257" t="s">
        <v>62</v>
      </c>
      <c r="H238" s="275" t="s">
        <v>414</v>
      </c>
      <c r="I238" s="50">
        <f>IF(C238=0,0,K238/C238)</f>
        <v>0</v>
      </c>
      <c r="J238" s="276" t="s">
        <v>249</v>
      </c>
      <c r="K238" s="35">
        <f>SUM(K234:K236)</f>
        <v>0</v>
      </c>
      <c r="L238" s="82"/>
    </row>
    <row r="239" spans="1:12">
      <c r="L239" s="82"/>
    </row>
    <row r="240" spans="1:12" ht="13">
      <c r="A240" s="238"/>
      <c r="B240" s="217" t="s">
        <v>250</v>
      </c>
      <c r="C240" s="217"/>
      <c r="D240" s="217"/>
      <c r="E240" s="217"/>
      <c r="F240" s="217"/>
      <c r="G240" s="217"/>
      <c r="H240" s="217"/>
      <c r="I240" s="217"/>
      <c r="J240" s="217"/>
      <c r="K240" s="217"/>
      <c r="L240" s="217"/>
    </row>
    <row r="241" spans="1:12" ht="21.65" customHeight="1">
      <c r="B241" s="267" t="s">
        <v>71</v>
      </c>
      <c r="C241" s="268" t="s">
        <v>72</v>
      </c>
      <c r="D241" s="268" t="s">
        <v>51</v>
      </c>
      <c r="E241" s="271" t="s">
        <v>83</v>
      </c>
      <c r="F241" s="271"/>
      <c r="G241" s="270" t="s">
        <v>50</v>
      </c>
      <c r="H241" s="270" t="s">
        <v>73</v>
      </c>
      <c r="I241" s="270" t="s">
        <v>74</v>
      </c>
      <c r="J241" s="270" t="s">
        <v>75</v>
      </c>
      <c r="K241" s="270" t="s">
        <v>76</v>
      </c>
      <c r="L241" s="82"/>
    </row>
    <row r="242" spans="1:12">
      <c r="B242" s="14" t="s">
        <v>219</v>
      </c>
      <c r="C242" s="67"/>
      <c r="D242" s="257" t="s">
        <v>62</v>
      </c>
      <c r="L242" s="82"/>
    </row>
    <row r="243" spans="1:12">
      <c r="B243" s="37" t="s">
        <v>220</v>
      </c>
      <c r="C243" s="67"/>
      <c r="D243" s="257" t="s">
        <v>62</v>
      </c>
      <c r="L243" s="82"/>
    </row>
    <row r="244" spans="1:12">
      <c r="B244" s="37" t="s">
        <v>221</v>
      </c>
      <c r="C244" s="67"/>
      <c r="D244" s="257" t="s">
        <v>62</v>
      </c>
      <c r="L244" s="82"/>
    </row>
    <row r="245" spans="1:12">
      <c r="B245" s="37" t="s">
        <v>222</v>
      </c>
      <c r="C245" s="67"/>
      <c r="D245" s="257" t="s">
        <v>62</v>
      </c>
      <c r="L245" s="82"/>
    </row>
    <row r="246" spans="1:12">
      <c r="B246" s="37" t="s">
        <v>223</v>
      </c>
      <c r="C246" s="67"/>
      <c r="D246" s="257" t="s">
        <v>62</v>
      </c>
      <c r="L246" s="82"/>
    </row>
    <row r="247" spans="1:12" ht="13">
      <c r="B247" s="37" t="s">
        <v>224</v>
      </c>
      <c r="C247" s="322">
        <f>SUM(C242:C246)</f>
        <v>0</v>
      </c>
      <c r="D247" s="257" t="s">
        <v>62</v>
      </c>
      <c r="L247" s="82"/>
    </row>
    <row r="248" spans="1:12">
      <c r="B248" s="14" t="s">
        <v>251</v>
      </c>
      <c r="C248" s="79">
        <v>1</v>
      </c>
      <c r="L248" s="82"/>
    </row>
    <row r="249" spans="1:12" ht="13">
      <c r="B249" s="14" t="s">
        <v>252</v>
      </c>
      <c r="C249" s="322">
        <f>C247*C248</f>
        <v>0</v>
      </c>
      <c r="D249" s="257" t="s">
        <v>62</v>
      </c>
      <c r="E249" s="70" t="s">
        <v>998</v>
      </c>
      <c r="G249" s="38">
        <f>_xlfn.XLOOKUP(E249,Revegetation_names_UR,Revegetation_rates_UR)</f>
        <v>4199.8329628478778</v>
      </c>
      <c r="H249" s="72"/>
      <c r="I249" s="57">
        <f>IF(H249="",G249,H249)</f>
        <v>4199.8329628478778</v>
      </c>
      <c r="J249" s="257" t="s">
        <v>62</v>
      </c>
      <c r="K249" s="51">
        <f>I249*C249</f>
        <v>0</v>
      </c>
      <c r="L249" s="82"/>
    </row>
    <row r="250" spans="1:12">
      <c r="C250" s="301"/>
      <c r="L250" s="82"/>
    </row>
    <row r="251" spans="1:12" ht="13">
      <c r="B251" s="302" t="str">
        <f>B$24</f>
        <v>Totals</v>
      </c>
      <c r="C251" s="285">
        <f>C249</f>
        <v>0</v>
      </c>
      <c r="D251" s="257" t="s">
        <v>62</v>
      </c>
      <c r="H251" s="275" t="s">
        <v>254</v>
      </c>
      <c r="I251" s="50">
        <f>IF(C251=0,0,K251/C251)</f>
        <v>0</v>
      </c>
      <c r="J251" s="276" t="s">
        <v>249</v>
      </c>
      <c r="K251" s="35">
        <f>SUM(K241:K250)</f>
        <v>0</v>
      </c>
      <c r="L251" s="82"/>
    </row>
    <row r="252" spans="1:12">
      <c r="C252" s="324"/>
      <c r="L252" s="82"/>
    </row>
    <row r="253" spans="1:12" ht="13">
      <c r="A253" s="238"/>
      <c r="B253" s="217" t="s">
        <v>268</v>
      </c>
      <c r="C253" s="217"/>
      <c r="D253" s="217"/>
      <c r="E253" s="217"/>
      <c r="F253" s="217"/>
      <c r="G253" s="217"/>
      <c r="H253" s="217"/>
      <c r="I253" s="217"/>
      <c r="J253" s="217"/>
      <c r="K253" s="217"/>
      <c r="L253" s="217"/>
    </row>
    <row r="254" spans="1:12" ht="21.75" customHeight="1">
      <c r="B254" s="296" t="s">
        <v>71</v>
      </c>
      <c r="C254" s="297" t="s">
        <v>72</v>
      </c>
      <c r="D254" s="297" t="s">
        <v>51</v>
      </c>
      <c r="E254" s="297" t="s">
        <v>83</v>
      </c>
      <c r="F254" s="297"/>
      <c r="G254" s="298" t="s">
        <v>50</v>
      </c>
      <c r="H254" s="298" t="s">
        <v>73</v>
      </c>
      <c r="I254" s="298" t="s">
        <v>74</v>
      </c>
      <c r="J254" s="298" t="s">
        <v>75</v>
      </c>
      <c r="K254" s="298" t="s">
        <v>76</v>
      </c>
      <c r="L254" s="82"/>
    </row>
    <row r="255" spans="1:12">
      <c r="B255" s="37" t="s">
        <v>269</v>
      </c>
      <c r="C255" s="55">
        <f>C129</f>
        <v>0</v>
      </c>
      <c r="D255" s="257" t="s">
        <v>1111</v>
      </c>
      <c r="L255" s="82"/>
    </row>
    <row r="256" spans="1:12">
      <c r="B256" s="37" t="s">
        <v>270</v>
      </c>
      <c r="C256" s="97"/>
      <c r="D256" s="257" t="s">
        <v>1115</v>
      </c>
      <c r="L256" s="82"/>
    </row>
    <row r="257" spans="1:12">
      <c r="B257" s="81" t="s">
        <v>1345</v>
      </c>
      <c r="C257" s="97"/>
      <c r="D257" s="257" t="s">
        <v>1115</v>
      </c>
      <c r="L257" s="82"/>
    </row>
    <row r="258" spans="1:12">
      <c r="B258" s="81" t="s">
        <v>1345</v>
      </c>
      <c r="C258" s="97"/>
      <c r="D258" s="257" t="s">
        <v>1115</v>
      </c>
      <c r="L258" s="82"/>
    </row>
    <row r="259" spans="1:12">
      <c r="B259" s="81" t="s">
        <v>1345</v>
      </c>
      <c r="C259" s="97"/>
      <c r="D259" s="257" t="s">
        <v>1115</v>
      </c>
      <c r="L259" s="82"/>
    </row>
    <row r="260" spans="1:12" ht="13">
      <c r="B260" s="14" t="s">
        <v>984</v>
      </c>
      <c r="C260" s="289">
        <f>SUM(C255:C259)</f>
        <v>0</v>
      </c>
      <c r="D260" s="257" t="s">
        <v>243</v>
      </c>
      <c r="L260" s="82"/>
    </row>
    <row r="261" spans="1:12" ht="25">
      <c r="B261" s="14" t="s">
        <v>1117</v>
      </c>
      <c r="C261" s="293">
        <f>C260/Concrete_density</f>
        <v>0</v>
      </c>
      <c r="D261" s="257" t="s">
        <v>231</v>
      </c>
      <c r="E261" s="76" t="s">
        <v>1301</v>
      </c>
      <c r="G261" s="47">
        <f>_xlfn.XLOOKUP(E261,Load_haul_dump_concrete_onsite_names_UR,Load_haul_dump_concrete_onsite_rates_UR)</f>
        <v>3.2596577291351427</v>
      </c>
      <c r="H261" s="72"/>
      <c r="I261" s="48">
        <f>IF(H261="",G261,H261)</f>
        <v>3.2596577291351427</v>
      </c>
      <c r="J261" s="257" t="str">
        <f>D261</f>
        <v>m3</v>
      </c>
      <c r="K261" s="45">
        <f>I261*C261</f>
        <v>0</v>
      </c>
      <c r="L261" s="82"/>
    </row>
    <row r="262" spans="1:12" ht="13">
      <c r="B262" s="14" t="s">
        <v>1116</v>
      </c>
      <c r="C262" s="293">
        <f>C260</f>
        <v>0</v>
      </c>
      <c r="D262" s="257" t="s">
        <v>243</v>
      </c>
      <c r="E262" s="76" t="s">
        <v>276</v>
      </c>
      <c r="G262" s="47">
        <f>_xlfn.XLOOKUP(E262,Concrete_crush_names_UR,Concrete_crush_rates_UR)</f>
        <v>7.3070947003586362</v>
      </c>
      <c r="H262" s="72"/>
      <c r="I262" s="48">
        <f>IF(H262="",G262,H262)</f>
        <v>7.3070947003586362</v>
      </c>
      <c r="J262" s="257" t="s">
        <v>231</v>
      </c>
      <c r="K262" s="45">
        <f>I262*C262</f>
        <v>0</v>
      </c>
      <c r="L262" s="82"/>
    </row>
    <row r="263" spans="1:12" ht="25">
      <c r="B263" s="14" t="s">
        <v>1118</v>
      </c>
      <c r="C263" s="293">
        <f>C261</f>
        <v>0</v>
      </c>
      <c r="D263" s="257" t="s">
        <v>231</v>
      </c>
      <c r="E263" s="76" t="s">
        <v>1302</v>
      </c>
      <c r="G263" s="47">
        <f>_xlfn.XLOOKUP(E263,Load_haul_dump_concrete_onsite_names_UR,Load_haul_dump_concrete_onsite_rates_UR)</f>
        <v>3.7318636114880839</v>
      </c>
      <c r="H263" s="72"/>
      <c r="I263" s="48">
        <f>IF(H263="",G263,H263)</f>
        <v>3.7318636114880839</v>
      </c>
      <c r="J263" s="257" t="str">
        <f>D263</f>
        <v>m3</v>
      </c>
      <c r="K263" s="45">
        <f>I263*C263</f>
        <v>0</v>
      </c>
      <c r="L263" s="82"/>
    </row>
    <row r="264" spans="1:12">
      <c r="C264" s="301"/>
      <c r="K264" s="273"/>
      <c r="L264" s="82"/>
    </row>
    <row r="265" spans="1:12" ht="13">
      <c r="B265" s="302" t="str">
        <f>B$24</f>
        <v>Totals</v>
      </c>
      <c r="C265" s="285">
        <f>C261</f>
        <v>0</v>
      </c>
      <c r="D265" s="257" t="s">
        <v>231</v>
      </c>
      <c r="H265" s="275" t="s">
        <v>277</v>
      </c>
      <c r="I265" s="57">
        <f>IF(C265=0,0,K265/C265)</f>
        <v>0</v>
      </c>
      <c r="J265" s="276" t="s">
        <v>278</v>
      </c>
      <c r="K265" s="43">
        <f>SUM(K254:K264)</f>
        <v>0</v>
      </c>
      <c r="L265" s="82"/>
    </row>
    <row r="266" spans="1:12" ht="13">
      <c r="I266" s="57">
        <f>I265/Concrete_density</f>
        <v>0</v>
      </c>
      <c r="J266" s="276" t="s">
        <v>243</v>
      </c>
      <c r="L266" s="82"/>
    </row>
    <row r="267" spans="1:12">
      <c r="L267" s="82"/>
    </row>
    <row r="268" spans="1:12" ht="13">
      <c r="A268" s="238"/>
      <c r="B268" s="217" t="s">
        <v>1114</v>
      </c>
      <c r="C268" s="217"/>
      <c r="D268" s="217"/>
      <c r="E268" s="217"/>
      <c r="F268" s="217"/>
      <c r="G268" s="217"/>
      <c r="H268" s="217"/>
      <c r="I268" s="217"/>
      <c r="J268" s="217"/>
      <c r="K268" s="217"/>
      <c r="L268" s="217"/>
    </row>
    <row r="269" spans="1:12" ht="22" customHeight="1">
      <c r="B269" s="267" t="s">
        <v>71</v>
      </c>
      <c r="C269" s="268" t="s">
        <v>72</v>
      </c>
      <c r="D269" s="268" t="s">
        <v>51</v>
      </c>
      <c r="E269" s="271" t="s">
        <v>83</v>
      </c>
      <c r="F269" s="271"/>
      <c r="G269" s="270" t="s">
        <v>50</v>
      </c>
      <c r="H269" s="270" t="s">
        <v>73</v>
      </c>
      <c r="I269" s="270" t="s">
        <v>74</v>
      </c>
      <c r="J269" s="270" t="s">
        <v>75</v>
      </c>
      <c r="K269" s="270" t="s">
        <v>76</v>
      </c>
      <c r="L269" s="82"/>
    </row>
    <row r="270" spans="1:12">
      <c r="B270" s="37" t="s">
        <v>280</v>
      </c>
      <c r="C270" s="97"/>
      <c r="D270" s="257" t="s">
        <v>243</v>
      </c>
      <c r="L270" s="82"/>
    </row>
    <row r="271" spans="1:12">
      <c r="B271" s="14" t="s">
        <v>256</v>
      </c>
      <c r="C271" s="55">
        <f>_xlfn.XLOOKUP(E272,Long_haul_names_concrete_UR,Load_haul_dump_rubble_distance_avg)</f>
        <v>12.5</v>
      </c>
      <c r="D271" s="257" t="s">
        <v>86</v>
      </c>
      <c r="L271" s="82"/>
    </row>
    <row r="272" spans="1:12" ht="13">
      <c r="B272" s="56" t="s">
        <v>257</v>
      </c>
      <c r="C272" s="295">
        <f>C271*C270</f>
        <v>0</v>
      </c>
      <c r="D272" s="257" t="s">
        <v>99</v>
      </c>
      <c r="E272" s="77" t="s">
        <v>416</v>
      </c>
      <c r="G272" s="47">
        <f>_xlfn.XLOOKUP(E272,Long_haul_names_concrete_UR,Long_haul_rates_concrete_UR)</f>
        <v>11.966261980830673</v>
      </c>
      <c r="H272" s="72"/>
      <c r="I272" s="48">
        <f>IF(H272="",G272,H272)</f>
        <v>11.966261980830673</v>
      </c>
      <c r="J272" s="257" t="s">
        <v>99</v>
      </c>
      <c r="K272" s="45">
        <f>I272*C272</f>
        <v>0</v>
      </c>
      <c r="L272" s="82"/>
    </row>
    <row r="273" spans="1:12" ht="13">
      <c r="B273" s="56" t="s">
        <v>259</v>
      </c>
      <c r="C273" s="293">
        <f>C270</f>
        <v>0</v>
      </c>
      <c r="D273" s="257" t="s">
        <v>243</v>
      </c>
      <c r="E273" s="80" t="s">
        <v>282</v>
      </c>
      <c r="G273" s="47">
        <f>_xlfn.XLOOKUP(E273,Disposal_gate_fee_names,Disposal_gate_fee_rates)</f>
        <v>70</v>
      </c>
      <c r="H273" s="72"/>
      <c r="I273" s="48">
        <f>IF(H273="",G273,H273)</f>
        <v>70</v>
      </c>
      <c r="J273" s="257" t="s">
        <v>243</v>
      </c>
      <c r="K273" s="45">
        <f>I273*C273</f>
        <v>0</v>
      </c>
      <c r="L273" s="82"/>
    </row>
    <row r="274" spans="1:12" ht="13">
      <c r="B274" s="56" t="s">
        <v>261</v>
      </c>
      <c r="C274" s="293">
        <f>C270</f>
        <v>0</v>
      </c>
      <c r="D274" s="257" t="s">
        <v>243</v>
      </c>
      <c r="E274" s="77" t="s">
        <v>262</v>
      </c>
      <c r="G274" s="47">
        <f>_xlfn.XLOOKUP(E274,Waste_levy_names,Waste_levy_rates)</f>
        <v>83</v>
      </c>
      <c r="H274" s="72"/>
      <c r="I274" s="48">
        <f>IF(H274="",G274,H274)</f>
        <v>83</v>
      </c>
      <c r="J274" s="257" t="s">
        <v>243</v>
      </c>
      <c r="K274" s="45">
        <f>I274*C274</f>
        <v>0</v>
      </c>
      <c r="L274" s="82"/>
    </row>
    <row r="275" spans="1:12">
      <c r="C275" s="301"/>
    </row>
    <row r="276" spans="1:12" ht="13">
      <c r="B276" s="302" t="str">
        <f>B$24</f>
        <v>Totals</v>
      </c>
      <c r="C276" s="285">
        <f>C270</f>
        <v>0</v>
      </c>
      <c r="D276" s="257" t="s">
        <v>243</v>
      </c>
      <c r="H276" s="275" t="s">
        <v>283</v>
      </c>
      <c r="I276" s="50">
        <f>IF(C276=0,0,K276/C276)</f>
        <v>0</v>
      </c>
      <c r="J276" s="276" t="s">
        <v>417</v>
      </c>
      <c r="K276" s="35">
        <f>SUM(K269:K275)</f>
        <v>0</v>
      </c>
      <c r="L276" s="82"/>
    </row>
    <row r="277" spans="1:12">
      <c r="L277" s="82"/>
    </row>
    <row r="278" spans="1:12" ht="13">
      <c r="A278" s="238"/>
      <c r="B278" s="217" t="s">
        <v>1113</v>
      </c>
      <c r="C278" s="217"/>
      <c r="D278" s="217"/>
      <c r="E278" s="217"/>
      <c r="F278" s="217"/>
      <c r="G278" s="217"/>
      <c r="H278" s="217"/>
      <c r="I278" s="217"/>
      <c r="J278" s="217"/>
      <c r="K278" s="217"/>
      <c r="L278" s="217"/>
    </row>
    <row r="279" spans="1:12" ht="22" customHeight="1">
      <c r="B279" s="267" t="s">
        <v>71</v>
      </c>
      <c r="C279" s="268" t="s">
        <v>72</v>
      </c>
      <c r="D279" s="268" t="s">
        <v>51</v>
      </c>
      <c r="E279" s="271" t="s">
        <v>83</v>
      </c>
      <c r="F279" s="271"/>
      <c r="G279" s="270" t="s">
        <v>50</v>
      </c>
      <c r="H279" s="270" t="s">
        <v>73</v>
      </c>
      <c r="I279" s="270" t="s">
        <v>74</v>
      </c>
      <c r="J279" s="270" t="s">
        <v>75</v>
      </c>
      <c r="K279" s="270" t="s">
        <v>76</v>
      </c>
      <c r="L279" s="82"/>
    </row>
    <row r="280" spans="1:12">
      <c r="B280" s="37" t="s">
        <v>286</v>
      </c>
      <c r="C280" s="97"/>
      <c r="D280" s="257" t="s">
        <v>243</v>
      </c>
      <c r="L280" s="82"/>
    </row>
    <row r="281" spans="1:12">
      <c r="B281" s="14" t="s">
        <v>256</v>
      </c>
      <c r="C281" s="55">
        <f>_xlfn.XLOOKUP(E282,Long_haul_names_steel_UR,Load_haul_dump_steel_distance_avg)</f>
        <v>22.5</v>
      </c>
      <c r="D281" s="257" t="s">
        <v>86</v>
      </c>
      <c r="L281" s="82"/>
    </row>
    <row r="282" spans="1:12" ht="13">
      <c r="B282" s="56" t="s">
        <v>257</v>
      </c>
      <c r="C282" s="295">
        <f>C281*C280</f>
        <v>0</v>
      </c>
      <c r="D282" s="257" t="s">
        <v>99</v>
      </c>
      <c r="E282" s="77" t="s">
        <v>287</v>
      </c>
      <c r="G282" s="47">
        <f>_xlfn.XLOOKUP(E282,Long_haul_names_steel_UR,Long_haul_rates_steel_UR)</f>
        <v>0.17856380024776791</v>
      </c>
      <c r="H282" s="72"/>
      <c r="I282" s="48">
        <f>IF(H282="",G282,H282)</f>
        <v>0.17856380024776791</v>
      </c>
      <c r="J282" s="257" t="s">
        <v>99</v>
      </c>
      <c r="K282" s="45">
        <f>I282*C282</f>
        <v>0</v>
      </c>
      <c r="L282" s="82"/>
    </row>
    <row r="283" spans="1:12" ht="13">
      <c r="B283" s="56" t="s">
        <v>259</v>
      </c>
      <c r="C283" s="293">
        <f>C280</f>
        <v>0</v>
      </c>
      <c r="D283" s="257" t="s">
        <v>243</v>
      </c>
      <c r="E283" s="80" t="s">
        <v>288</v>
      </c>
      <c r="G283" s="47">
        <f>_xlfn.XLOOKUP(E283,Disposal_gate_fee_names,Disposal_gate_fee_rates)</f>
        <v>0</v>
      </c>
      <c r="H283" s="72"/>
      <c r="I283" s="48">
        <f>IF(H283="",G283,H283)</f>
        <v>0</v>
      </c>
      <c r="J283" s="257" t="s">
        <v>243</v>
      </c>
      <c r="K283" s="45">
        <f>I283*C283</f>
        <v>0</v>
      </c>
      <c r="L283" s="82"/>
    </row>
    <row r="284" spans="1:12" ht="13">
      <c r="B284" s="56" t="s">
        <v>261</v>
      </c>
      <c r="C284" s="293">
        <f>C280</f>
        <v>0</v>
      </c>
      <c r="D284" s="257" t="s">
        <v>243</v>
      </c>
      <c r="E284" s="77" t="s">
        <v>262</v>
      </c>
      <c r="G284" s="47">
        <f>_xlfn.XLOOKUP(E284,Waste_levy_names,Waste_levy_rates)</f>
        <v>83</v>
      </c>
      <c r="H284" s="72"/>
      <c r="I284" s="48">
        <f>IF(H284="",G284,H284)</f>
        <v>83</v>
      </c>
      <c r="J284" s="257" t="s">
        <v>243</v>
      </c>
      <c r="K284" s="45">
        <f>I284*C284</f>
        <v>0</v>
      </c>
      <c r="L284" s="82"/>
    </row>
    <row r="285" spans="1:12">
      <c r="C285" s="301"/>
      <c r="K285" s="238"/>
      <c r="L285" s="82"/>
    </row>
    <row r="286" spans="1:12" ht="13">
      <c r="B286" s="302" t="str">
        <f>B$24</f>
        <v>Totals</v>
      </c>
      <c r="C286" s="285">
        <f>C280</f>
        <v>0</v>
      </c>
      <c r="D286" s="257" t="s">
        <v>243</v>
      </c>
      <c r="H286" s="275" t="s">
        <v>289</v>
      </c>
      <c r="I286" s="50">
        <f>IF(C286=0,0,K286/C286)</f>
        <v>0</v>
      </c>
      <c r="J286" s="276" t="s">
        <v>407</v>
      </c>
      <c r="K286" s="35">
        <f>SUM(K279:K285)</f>
        <v>0</v>
      </c>
      <c r="L286" s="82"/>
    </row>
    <row r="287" spans="1:12">
      <c r="L287" s="82"/>
    </row>
    <row r="288" spans="1:12" ht="13">
      <c r="A288" s="238"/>
      <c r="B288" s="217" t="s">
        <v>418</v>
      </c>
      <c r="C288" s="217"/>
      <c r="D288" s="217"/>
      <c r="E288" s="217"/>
      <c r="F288" s="217"/>
      <c r="G288" s="217"/>
      <c r="H288" s="217"/>
      <c r="I288" s="217"/>
      <c r="J288" s="217"/>
      <c r="K288" s="217"/>
      <c r="L288" s="217"/>
    </row>
    <row r="289" spans="1:12" ht="22" customHeight="1">
      <c r="B289" s="267" t="s">
        <v>71</v>
      </c>
      <c r="C289" s="268" t="s">
        <v>72</v>
      </c>
      <c r="D289" s="268" t="s">
        <v>51</v>
      </c>
      <c r="E289" s="271" t="s">
        <v>83</v>
      </c>
      <c r="F289" s="271"/>
      <c r="G289" s="270" t="s">
        <v>50</v>
      </c>
      <c r="H289" s="270" t="s">
        <v>73</v>
      </c>
      <c r="I289" s="270" t="s">
        <v>74</v>
      </c>
      <c r="J289" s="270" t="s">
        <v>75</v>
      </c>
      <c r="K289" s="270" t="s">
        <v>76</v>
      </c>
      <c r="L289" s="82"/>
    </row>
    <row r="290" spans="1:12">
      <c r="B290" s="37" t="s">
        <v>291</v>
      </c>
      <c r="C290" s="97"/>
      <c r="D290" s="257" t="s">
        <v>243</v>
      </c>
      <c r="L290" s="82"/>
    </row>
    <row r="291" spans="1:12">
      <c r="B291" s="14" t="s">
        <v>256</v>
      </c>
      <c r="C291" s="55">
        <f>_xlfn.XLOOKUP(E292,Load_haul_dump_soil_ameliorants_from_off_site_names_UR,Load_haul_dump_growth_media_distance_avg)</f>
        <v>22.5</v>
      </c>
      <c r="D291" s="257" t="s">
        <v>86</v>
      </c>
      <c r="L291" s="82"/>
    </row>
    <row r="292" spans="1:12" ht="13">
      <c r="B292" s="56" t="s">
        <v>257</v>
      </c>
      <c r="C292" s="295">
        <f>C291*C290</f>
        <v>0</v>
      </c>
      <c r="D292" s="257" t="s">
        <v>99</v>
      </c>
      <c r="E292" s="77" t="s">
        <v>246</v>
      </c>
      <c r="G292" s="47">
        <f>_xlfn.XLOOKUP(E292,Load_haul_dump_soil_ameliorants_from_off_site_names_UR,Load_haul_dump_soil_ameliorants_from_off_site_rates_UR)</f>
        <v>0.11200692041522493</v>
      </c>
      <c r="H292" s="72"/>
      <c r="I292" s="48">
        <f>IF(H292="",G292,H292)</f>
        <v>0.11200692041522493</v>
      </c>
      <c r="J292" s="257" t="s">
        <v>99</v>
      </c>
      <c r="K292" s="45">
        <f>I292*C292</f>
        <v>0</v>
      </c>
      <c r="L292" s="82"/>
    </row>
    <row r="293" spans="1:12" ht="13">
      <c r="B293" s="56" t="s">
        <v>259</v>
      </c>
      <c r="C293" s="293">
        <f>C290</f>
        <v>0</v>
      </c>
      <c r="D293" s="257" t="s">
        <v>243</v>
      </c>
      <c r="E293" s="80" t="s">
        <v>292</v>
      </c>
      <c r="G293" s="47">
        <f>_xlfn.XLOOKUP(E293,Disposal_gate_fee_names,Disposal_gate_fee_rates)</f>
        <v>275</v>
      </c>
      <c r="H293" s="72"/>
      <c r="I293" s="48">
        <f>IF(H293="",G293,H293)</f>
        <v>275</v>
      </c>
      <c r="J293" s="257" t="s">
        <v>243</v>
      </c>
      <c r="K293" s="45">
        <f>I293*C293</f>
        <v>0</v>
      </c>
      <c r="L293" s="82"/>
    </row>
    <row r="294" spans="1:12" ht="13">
      <c r="B294" s="56" t="s">
        <v>261</v>
      </c>
      <c r="C294" s="293">
        <f>C290</f>
        <v>0</v>
      </c>
      <c r="D294" s="257" t="s">
        <v>243</v>
      </c>
      <c r="E294" s="77" t="s">
        <v>262</v>
      </c>
      <c r="G294" s="47">
        <f>_xlfn.XLOOKUP(E294,Waste_levy_names,Waste_levy_rates)</f>
        <v>83</v>
      </c>
      <c r="H294" s="72"/>
      <c r="I294" s="48">
        <f>IF(H294="",G294,H294)</f>
        <v>83</v>
      </c>
      <c r="J294" s="257" t="s">
        <v>243</v>
      </c>
      <c r="K294" s="45">
        <f>I294*C294</f>
        <v>0</v>
      </c>
      <c r="L294" s="82"/>
    </row>
    <row r="295" spans="1:12">
      <c r="C295" s="301"/>
      <c r="K295" s="238"/>
      <c r="L295" s="82"/>
    </row>
    <row r="296" spans="1:12" ht="13">
      <c r="B296" s="302" t="str">
        <f>B$24</f>
        <v>Totals</v>
      </c>
      <c r="C296" s="285">
        <f>C290</f>
        <v>0</v>
      </c>
      <c r="D296" s="257" t="s">
        <v>243</v>
      </c>
      <c r="H296" s="275" t="s">
        <v>293</v>
      </c>
      <c r="I296" s="50">
        <f>IF(C296=0,0,K296/C296)</f>
        <v>0</v>
      </c>
      <c r="J296" s="276" t="s">
        <v>407</v>
      </c>
      <c r="K296" s="35">
        <f>SUM(K289:K295)</f>
        <v>0</v>
      </c>
      <c r="L296" s="82"/>
    </row>
    <row r="297" spans="1:12">
      <c r="C297" s="314"/>
      <c r="L297" s="82"/>
    </row>
    <row r="298" spans="1:12" ht="13">
      <c r="A298" s="238"/>
      <c r="B298" s="217" t="s">
        <v>294</v>
      </c>
      <c r="C298" s="217"/>
      <c r="D298" s="217"/>
      <c r="E298" s="217"/>
      <c r="F298" s="217"/>
      <c r="G298" s="217"/>
      <c r="H298" s="217"/>
      <c r="I298" s="217"/>
      <c r="J298" s="217"/>
      <c r="K298" s="217"/>
      <c r="L298" s="217"/>
    </row>
    <row r="299" spans="1:12" ht="23.5" customHeight="1">
      <c r="B299" s="267" t="s">
        <v>71</v>
      </c>
      <c r="C299" s="268" t="s">
        <v>72</v>
      </c>
      <c r="D299" s="268" t="s">
        <v>51</v>
      </c>
      <c r="E299" s="271" t="s">
        <v>83</v>
      </c>
      <c r="F299" s="271"/>
      <c r="G299" s="270" t="s">
        <v>50</v>
      </c>
      <c r="H299" s="270" t="s">
        <v>73</v>
      </c>
      <c r="I299" s="270" t="s">
        <v>74</v>
      </c>
      <c r="J299" s="270" t="s">
        <v>75</v>
      </c>
      <c r="K299" s="270" t="s">
        <v>76</v>
      </c>
      <c r="L299" s="70"/>
    </row>
    <row r="300" spans="1:12" ht="13">
      <c r="B300" s="37" t="s">
        <v>295</v>
      </c>
      <c r="C300" s="98"/>
      <c r="D300" s="257" t="s">
        <v>302</v>
      </c>
      <c r="E300" s="77" t="s">
        <v>419</v>
      </c>
      <c r="G300" s="38">
        <f>_xlfn.XLOOKUP(E300,Mobe_names_wind_CS,Mobe_rates_wind_CS)</f>
        <v>79000</v>
      </c>
      <c r="H300" s="72"/>
      <c r="I300" s="39">
        <f t="shared" ref="I300:I302" si="11">IF(H300="",G300,H300)</f>
        <v>79000</v>
      </c>
      <c r="J300" s="257" t="s">
        <v>296</v>
      </c>
      <c r="K300" s="45">
        <f>I300*C300</f>
        <v>0</v>
      </c>
      <c r="L300" s="73"/>
    </row>
    <row r="301" spans="1:12" ht="13">
      <c r="B301" s="37" t="s">
        <v>298</v>
      </c>
      <c r="C301" s="98"/>
      <c r="D301" s="257" t="s">
        <v>302</v>
      </c>
      <c r="E301" s="77" t="s">
        <v>299</v>
      </c>
      <c r="F301" s="238"/>
      <c r="G301" s="38">
        <f>_xlfn.XLOOKUP(E301,Mobe_names_electrical_CS,Mobe_rates_electrical_CS)</f>
        <v>38000</v>
      </c>
      <c r="H301" s="72"/>
      <c r="I301" s="39">
        <f t="shared" si="11"/>
        <v>38000</v>
      </c>
      <c r="J301" s="257" t="s">
        <v>296</v>
      </c>
      <c r="K301" s="45">
        <f t="shared" ref="K301:K302" si="12">I301*C301</f>
        <v>0</v>
      </c>
      <c r="L301" s="73"/>
    </row>
    <row r="302" spans="1:12" ht="13">
      <c r="B302" s="37" t="s">
        <v>300</v>
      </c>
      <c r="C302" s="98"/>
      <c r="D302" s="257" t="s">
        <v>302</v>
      </c>
      <c r="E302" s="77" t="s">
        <v>301</v>
      </c>
      <c r="F302" s="238"/>
      <c r="G302" s="38">
        <f>_xlfn.XLOOKUP(E302,Mobe_names_land_CS,Mobe_rates_land_CS)</f>
        <v>61000</v>
      </c>
      <c r="H302" s="72"/>
      <c r="I302" s="39">
        <f t="shared" si="11"/>
        <v>61000</v>
      </c>
      <c r="J302" s="257" t="s">
        <v>296</v>
      </c>
      <c r="K302" s="45">
        <f t="shared" si="12"/>
        <v>0</v>
      </c>
      <c r="L302" s="73"/>
    </row>
    <row r="303" spans="1:12">
      <c r="C303" s="287"/>
      <c r="K303" s="238"/>
      <c r="L303" s="73"/>
    </row>
    <row r="304" spans="1:12" ht="13">
      <c r="B304" s="302" t="str">
        <f>B$24</f>
        <v>Totals</v>
      </c>
      <c r="C304" s="304">
        <f>SUM(C300:C302)</f>
        <v>0</v>
      </c>
      <c r="D304" s="257" t="s">
        <v>302</v>
      </c>
      <c r="H304" s="275" t="s">
        <v>303</v>
      </c>
      <c r="I304" s="39">
        <f>IF(C304=0,0,K304/C304)</f>
        <v>0</v>
      </c>
      <c r="J304" s="276" t="s">
        <v>420</v>
      </c>
      <c r="K304" s="35">
        <f>SUM(K299:K303)</f>
        <v>0</v>
      </c>
      <c r="L304" s="70"/>
    </row>
    <row r="306" spans="1:12" ht="13">
      <c r="A306" s="238"/>
      <c r="B306" s="217" t="s">
        <v>304</v>
      </c>
      <c r="C306" s="217"/>
      <c r="D306" s="217"/>
      <c r="E306" s="217"/>
      <c r="F306" s="217"/>
      <c r="G306" s="217"/>
      <c r="H306" s="217"/>
      <c r="I306" s="217"/>
      <c r="J306" s="217"/>
      <c r="K306" s="217"/>
      <c r="L306" s="217"/>
    </row>
    <row r="307" spans="1:12" ht="21" customHeight="1">
      <c r="B307" s="267" t="s">
        <v>71</v>
      </c>
      <c r="C307" s="268" t="s">
        <v>72</v>
      </c>
      <c r="D307" s="268" t="s">
        <v>51</v>
      </c>
      <c r="E307" s="271"/>
      <c r="F307" s="271"/>
      <c r="G307" s="270" t="s">
        <v>50</v>
      </c>
      <c r="H307" s="270" t="s">
        <v>73</v>
      </c>
      <c r="I307" s="270" t="s">
        <v>74</v>
      </c>
      <c r="J307" s="270" t="s">
        <v>75</v>
      </c>
      <c r="K307" s="270" t="s">
        <v>76</v>
      </c>
      <c r="L307" s="70"/>
    </row>
    <row r="308" spans="1:12" ht="13">
      <c r="B308" s="37" t="str">
        <f>'Cost Schedule'!B411</f>
        <v>Wind Farm Permitting</v>
      </c>
      <c r="C308" s="98"/>
      <c r="D308" s="257" t="s">
        <v>336</v>
      </c>
      <c r="G308" s="38">
        <f>'Cost Schedule'!C411</f>
        <v>2586.2411242438579</v>
      </c>
      <c r="H308" s="72"/>
      <c r="I308" s="39">
        <f t="shared" ref="I308:I311" si="13">IF(H308="",G308,H308)</f>
        <v>2586.2411242438579</v>
      </c>
      <c r="J308" s="257" t="s">
        <v>361</v>
      </c>
      <c r="K308" s="45">
        <f>I308*C308</f>
        <v>0</v>
      </c>
      <c r="L308" s="73"/>
    </row>
    <row r="309" spans="1:12" ht="13">
      <c r="B309" s="37" t="e">
        <f>#REF!</f>
        <v>#REF!</v>
      </c>
      <c r="C309" s="98"/>
      <c r="D309" s="257" t="s">
        <v>1043</v>
      </c>
      <c r="G309" s="38">
        <f>'Cost Schedule'!C413</f>
        <v>80801.857987901734</v>
      </c>
      <c r="H309" s="72"/>
      <c r="I309" s="39">
        <f t="shared" si="13"/>
        <v>80801.857987901734</v>
      </c>
      <c r="J309" s="257" t="s">
        <v>1043</v>
      </c>
      <c r="K309" s="45">
        <f t="shared" ref="K309:K311" si="14">I309*C309</f>
        <v>0</v>
      </c>
      <c r="L309" s="70"/>
    </row>
    <row r="310" spans="1:12" ht="13">
      <c r="B310" s="37" t="str">
        <f>'Cost Schedule'!B415</f>
        <v>Wind Farm Collapse Plan</v>
      </c>
      <c r="C310" s="98"/>
      <c r="D310" s="257" t="s">
        <v>1043</v>
      </c>
      <c r="G310" s="38">
        <f>'Cost Schedule'!C415</f>
        <v>78593.857987901734</v>
      </c>
      <c r="H310" s="72"/>
      <c r="I310" s="39">
        <f t="shared" si="13"/>
        <v>78593.857987901734</v>
      </c>
      <c r="J310" s="257" t="s">
        <v>1043</v>
      </c>
      <c r="K310" s="45">
        <f t="shared" si="14"/>
        <v>0</v>
      </c>
      <c r="L310" s="70"/>
    </row>
    <row r="311" spans="1:12" ht="13">
      <c r="B311" s="37" t="s">
        <v>306</v>
      </c>
      <c r="C311" s="98"/>
      <c r="D311" s="257" t="s">
        <v>305</v>
      </c>
      <c r="G311" s="38"/>
      <c r="H311" s="72"/>
      <c r="I311" s="39">
        <f t="shared" si="13"/>
        <v>0</v>
      </c>
      <c r="J311" s="257" t="s">
        <v>305</v>
      </c>
      <c r="K311" s="45">
        <f t="shared" si="14"/>
        <v>0</v>
      </c>
      <c r="L311" s="73"/>
    </row>
    <row r="312" spans="1:12" ht="13">
      <c r="B312" s="37" t="s">
        <v>307</v>
      </c>
      <c r="C312" s="98"/>
      <c r="D312" s="257" t="s">
        <v>305</v>
      </c>
      <c r="G312" s="38"/>
      <c r="H312" s="72"/>
      <c r="I312" s="39">
        <f>IF(H312="",G312,H312)</f>
        <v>0</v>
      </c>
      <c r="J312" s="257" t="s">
        <v>305</v>
      </c>
      <c r="K312" s="45">
        <f>I312*C312</f>
        <v>0</v>
      </c>
      <c r="L312" s="70"/>
    </row>
    <row r="313" spans="1:12" ht="13">
      <c r="B313" s="81" t="s">
        <v>1345</v>
      </c>
      <c r="C313" s="98"/>
      <c r="D313" s="257" t="s">
        <v>305</v>
      </c>
      <c r="G313" s="38"/>
      <c r="H313" s="72"/>
      <c r="I313" s="39">
        <f>IF(H313="",G313,H313)</f>
        <v>0</v>
      </c>
      <c r="J313" s="257" t="s">
        <v>305</v>
      </c>
      <c r="K313" s="45">
        <f>I313*C313</f>
        <v>0</v>
      </c>
      <c r="L313" s="73"/>
    </row>
    <row r="314" spans="1:12">
      <c r="C314" s="303"/>
      <c r="I314" s="273"/>
      <c r="L314" s="73"/>
    </row>
    <row r="315" spans="1:12" ht="13">
      <c r="B315" s="302" t="str">
        <f>B$24</f>
        <v>Totals</v>
      </c>
      <c r="C315" s="304">
        <f>SUM(C308:C312)</f>
        <v>0</v>
      </c>
      <c r="D315" s="257" t="s">
        <v>308</v>
      </c>
      <c r="H315" s="275" t="s">
        <v>309</v>
      </c>
      <c r="I315" s="50">
        <f>IF(C315=0,0,K315/C315)</f>
        <v>0</v>
      </c>
      <c r="J315" s="276" t="s">
        <v>462</v>
      </c>
      <c r="K315" s="35">
        <f>SUM(K307:K314)</f>
        <v>0</v>
      </c>
      <c r="L315" s="70"/>
    </row>
    <row r="316" spans="1:12" ht="13">
      <c r="I316" s="50">
        <f>IF(C308=0,0,K315/C308)</f>
        <v>0</v>
      </c>
      <c r="J316" s="276" t="s">
        <v>361</v>
      </c>
      <c r="L316" s="70"/>
    </row>
    <row r="317" spans="1:12">
      <c r="L317" s="70"/>
    </row>
    <row r="318" spans="1:12" ht="13">
      <c r="A318" s="238"/>
      <c r="B318" s="217" t="s">
        <v>310</v>
      </c>
      <c r="C318" s="217"/>
      <c r="D318" s="217"/>
      <c r="E318" s="217"/>
      <c r="F318" s="217"/>
      <c r="G318" s="217"/>
      <c r="H318" s="217"/>
      <c r="I318" s="217"/>
      <c r="J318" s="217"/>
      <c r="K318" s="217"/>
      <c r="L318" s="217"/>
    </row>
    <row r="319" spans="1:12" ht="21.75" customHeight="1">
      <c r="B319" s="267" t="s">
        <v>71</v>
      </c>
      <c r="C319" s="268" t="s">
        <v>72</v>
      </c>
      <c r="D319" s="268" t="s">
        <v>51</v>
      </c>
      <c r="E319" s="271" t="s">
        <v>59</v>
      </c>
      <c r="F319" s="271"/>
      <c r="G319" s="270"/>
      <c r="H319" s="270" t="s">
        <v>73</v>
      </c>
      <c r="I319" s="270" t="s">
        <v>74</v>
      </c>
      <c r="J319" s="270" t="s">
        <v>75</v>
      </c>
      <c r="K319" s="270" t="s">
        <v>76</v>
      </c>
      <c r="L319" s="70"/>
    </row>
    <row r="320" spans="1:12" ht="13">
      <c r="B320" s="81" t="s">
        <v>311</v>
      </c>
      <c r="C320" s="97"/>
      <c r="D320" s="83"/>
      <c r="E320" s="70"/>
      <c r="H320" s="72"/>
      <c r="I320" s="48">
        <f t="shared" ref="I320:I322" si="15">IF(H320="",G320,H320)</f>
        <v>0</v>
      </c>
      <c r="J320" s="325">
        <f>D320</f>
        <v>0</v>
      </c>
      <c r="K320" s="45">
        <f t="shared" ref="K320:K325" si="16">I320*C320</f>
        <v>0</v>
      </c>
      <c r="L320" s="73"/>
    </row>
    <row r="321" spans="1:12" ht="13">
      <c r="B321" s="81" t="s">
        <v>311</v>
      </c>
      <c r="C321" s="97"/>
      <c r="D321" s="83"/>
      <c r="E321" s="70"/>
      <c r="H321" s="72"/>
      <c r="I321" s="48">
        <f t="shared" si="15"/>
        <v>0</v>
      </c>
      <c r="J321" s="325">
        <f t="shared" ref="J321:J325" si="17">D321</f>
        <v>0</v>
      </c>
      <c r="K321" s="45">
        <f t="shared" si="16"/>
        <v>0</v>
      </c>
      <c r="L321" s="70"/>
    </row>
    <row r="322" spans="1:12" ht="13">
      <c r="B322" s="81" t="s">
        <v>311</v>
      </c>
      <c r="C322" s="97"/>
      <c r="D322" s="83"/>
      <c r="E322" s="70"/>
      <c r="H322" s="72"/>
      <c r="I322" s="48">
        <f t="shared" si="15"/>
        <v>0</v>
      </c>
      <c r="J322" s="325">
        <f t="shared" si="17"/>
        <v>0</v>
      </c>
      <c r="K322" s="45">
        <f t="shared" si="16"/>
        <v>0</v>
      </c>
      <c r="L322" s="73"/>
    </row>
    <row r="323" spans="1:12" ht="13">
      <c r="B323" s="81" t="s">
        <v>311</v>
      </c>
      <c r="C323" s="97"/>
      <c r="D323" s="83"/>
      <c r="E323" s="70"/>
      <c r="H323" s="72"/>
      <c r="I323" s="48">
        <f>IF(H323="",G323,H323)</f>
        <v>0</v>
      </c>
      <c r="J323" s="325">
        <f t="shared" si="17"/>
        <v>0</v>
      </c>
      <c r="K323" s="45">
        <f t="shared" si="16"/>
        <v>0</v>
      </c>
      <c r="L323" s="70"/>
    </row>
    <row r="324" spans="1:12" ht="13">
      <c r="B324" s="81" t="s">
        <v>311</v>
      </c>
      <c r="C324" s="97"/>
      <c r="D324" s="83"/>
      <c r="E324" s="70"/>
      <c r="H324" s="72"/>
      <c r="I324" s="48">
        <f>IF(H324="",G324,H324)</f>
        <v>0</v>
      </c>
      <c r="J324" s="325">
        <f t="shared" si="17"/>
        <v>0</v>
      </c>
      <c r="K324" s="45">
        <f t="shared" si="16"/>
        <v>0</v>
      </c>
      <c r="L324" s="73"/>
    </row>
    <row r="325" spans="1:12" ht="13">
      <c r="B325" s="81" t="s">
        <v>311</v>
      </c>
      <c r="C325" s="97"/>
      <c r="D325" s="83"/>
      <c r="E325" s="70"/>
      <c r="H325" s="72"/>
      <c r="I325" s="48">
        <f>IF(H325="",G325,H325)</f>
        <v>0</v>
      </c>
      <c r="J325" s="325">
        <f t="shared" si="17"/>
        <v>0</v>
      </c>
      <c r="K325" s="45">
        <f t="shared" si="16"/>
        <v>0</v>
      </c>
    </row>
    <row r="326" spans="1:12">
      <c r="C326" s="301"/>
    </row>
    <row r="327" spans="1:12" ht="13">
      <c r="B327" s="302" t="str">
        <f>B$24</f>
        <v>Totals</v>
      </c>
      <c r="C327" s="285">
        <f>SUM(C319:C326)</f>
        <v>0</v>
      </c>
      <c r="D327" s="325">
        <f>D320</f>
        <v>0</v>
      </c>
      <c r="J327" s="326" t="s">
        <v>421</v>
      </c>
      <c r="K327" s="35">
        <f>SUM(K319:K326)</f>
        <v>0</v>
      </c>
    </row>
    <row r="329" spans="1:12" ht="13">
      <c r="A329" s="238"/>
      <c r="B329" s="217" t="s">
        <v>314</v>
      </c>
      <c r="C329" s="217"/>
      <c r="D329" s="217"/>
      <c r="E329" s="217"/>
      <c r="F329" s="217"/>
      <c r="G329" s="217"/>
      <c r="H329" s="217"/>
      <c r="I329" s="217"/>
      <c r="J329" s="217"/>
      <c r="K329" s="217"/>
      <c r="L329" s="217"/>
    </row>
    <row r="330" spans="1:12" ht="24" customHeight="1">
      <c r="B330" s="296" t="s">
        <v>71</v>
      </c>
      <c r="C330" s="297" t="s">
        <v>72</v>
      </c>
      <c r="D330" s="262" t="s">
        <v>316</v>
      </c>
      <c r="E330" s="264"/>
      <c r="F330" s="297" t="s">
        <v>317</v>
      </c>
      <c r="G330" s="297" t="s">
        <v>50</v>
      </c>
      <c r="H330" s="297" t="s">
        <v>73</v>
      </c>
      <c r="I330" s="297" t="s">
        <v>74</v>
      </c>
      <c r="J330" s="298"/>
      <c r="K330" s="298" t="s">
        <v>76</v>
      </c>
    </row>
    <row r="331" spans="1:12" ht="13">
      <c r="B331" s="37" t="s">
        <v>318</v>
      </c>
      <c r="C331" s="58">
        <v>0.1</v>
      </c>
      <c r="D331" s="84"/>
      <c r="E331" s="300" t="s">
        <v>319</v>
      </c>
      <c r="F331" s="309">
        <f>SUM(K24,K38,K44,K50,K61,K68,K79,K94,K107,K121,K136,K159,K174,K181,K191,K201,K221,K238,K251,K265,K276,K286,K296,K304,K315,K327)</f>
        <v>0</v>
      </c>
      <c r="G331" s="38">
        <f>F$331*IF(D331="",C331,D331)</f>
        <v>0</v>
      </c>
      <c r="H331" s="72"/>
      <c r="I331" s="39">
        <f>IF(H331="",G331,H331)</f>
        <v>0</v>
      </c>
      <c r="K331" s="45">
        <f>I331</f>
        <v>0</v>
      </c>
    </row>
    <row r="332" spans="1:12" ht="13">
      <c r="B332" s="37" t="s">
        <v>320</v>
      </c>
      <c r="C332" s="58">
        <v>0.05</v>
      </c>
      <c r="D332" s="84"/>
      <c r="E332" s="300" t="s">
        <v>319</v>
      </c>
      <c r="G332" s="38">
        <f>F$331*IF(D332="",C332,D332)</f>
        <v>0</v>
      </c>
      <c r="H332" s="72"/>
      <c r="I332" s="39">
        <f t="shared" ref="I332:I333" si="18">IF(H332="",G332,H332)</f>
        <v>0</v>
      </c>
      <c r="K332" s="45">
        <f t="shared" ref="K332:K333" si="19">I332</f>
        <v>0</v>
      </c>
    </row>
    <row r="333" spans="1:12" ht="13">
      <c r="B333" s="59" t="s">
        <v>321</v>
      </c>
      <c r="C333" s="58">
        <v>0.1</v>
      </c>
      <c r="D333" s="84"/>
      <c r="E333" s="300" t="s">
        <v>319</v>
      </c>
      <c r="G333" s="38">
        <f>F$331*IF(D333="",C333,D333)</f>
        <v>0</v>
      </c>
      <c r="H333" s="72"/>
      <c r="I333" s="39">
        <f t="shared" si="18"/>
        <v>0</v>
      </c>
      <c r="K333" s="45">
        <f t="shared" si="19"/>
        <v>0</v>
      </c>
    </row>
    <row r="334" spans="1:12">
      <c r="J334" s="238"/>
    </row>
    <row r="335" spans="1:12" ht="13">
      <c r="D335" s="238"/>
      <c r="J335" s="276" t="s">
        <v>313</v>
      </c>
      <c r="K335" s="35">
        <f>SUM(K330:K334)</f>
        <v>0</v>
      </c>
    </row>
    <row r="336" spans="1:12">
      <c r="C336" s="238"/>
      <c r="J336" s="238"/>
    </row>
    <row r="337" spans="1:12" ht="13">
      <c r="A337" s="238"/>
      <c r="B337" s="217" t="s">
        <v>422</v>
      </c>
      <c r="C337" s="217"/>
      <c r="D337" s="217"/>
      <c r="E337" s="217"/>
      <c r="F337" s="217"/>
      <c r="G337" s="217"/>
      <c r="H337" s="217"/>
      <c r="I337" s="217"/>
      <c r="J337" s="217"/>
      <c r="K337" s="217"/>
      <c r="L337" s="217"/>
    </row>
    <row r="338" spans="1:12" ht="22.5" customHeight="1">
      <c r="B338" s="296" t="s">
        <v>25</v>
      </c>
      <c r="C338" s="297" t="s">
        <v>322</v>
      </c>
      <c r="D338" s="297" t="s">
        <v>1327</v>
      </c>
      <c r="E338" s="297" t="s">
        <v>83</v>
      </c>
      <c r="F338" s="297"/>
      <c r="G338" s="298" t="s">
        <v>50</v>
      </c>
      <c r="H338" s="298" t="s">
        <v>73</v>
      </c>
      <c r="I338" s="298" t="s">
        <v>74</v>
      </c>
      <c r="J338" s="298" t="s">
        <v>75</v>
      </c>
      <c r="K338" s="298" t="s">
        <v>76</v>
      </c>
    </row>
    <row r="339" spans="1:12">
      <c r="B339" s="14" t="s">
        <v>324</v>
      </c>
      <c r="E339" s="327" t="str">
        <f>C13</f>
        <v>Select make and model</v>
      </c>
    </row>
    <row r="340" spans="1:12">
      <c r="B340" s="14" t="s">
        <v>329</v>
      </c>
      <c r="C340" s="94">
        <f>SUM(C341:C347)</f>
        <v>0.88100000000000001</v>
      </c>
      <c r="D340" s="95">
        <f>_xlfn.XLOOKUP($C$13,Turbine_models,Turbine_mass)*$C$14</f>
        <v>0</v>
      </c>
    </row>
    <row r="341" spans="1:12" ht="13">
      <c r="B341" s="14" t="s">
        <v>423</v>
      </c>
      <c r="C341" s="94">
        <f>_xlfn.XLOOKUP(C$13,Turbine_models,Turbine_steel_iron)</f>
        <v>0.86099999999999999</v>
      </c>
      <c r="D341" s="95">
        <f>C341*D$340</f>
        <v>0</v>
      </c>
      <c r="G341" s="38">
        <f>Scrap_steel_rate*kilograms_in_tonnes</f>
        <v>200</v>
      </c>
      <c r="H341" s="72"/>
      <c r="I341" s="39">
        <f>IF(H341="",G341,H341)</f>
        <v>200</v>
      </c>
      <c r="J341" s="257" t="s">
        <v>243</v>
      </c>
      <c r="K341" s="45">
        <f t="shared" ref="K341:K347" si="20">I341*D341</f>
        <v>0</v>
      </c>
      <c r="L341" s="82"/>
    </row>
    <row r="342" spans="1:12" ht="13">
      <c r="B342" s="14" t="s">
        <v>424</v>
      </c>
      <c r="C342" s="94">
        <f>_xlfn.XLOOKUP(C$13,Turbine_models,Turbine_copper)</f>
        <v>7.0000000000000001E-3</v>
      </c>
      <c r="D342" s="95">
        <f t="shared" ref="D342:D347" si="21">C342*D$340</f>
        <v>0</v>
      </c>
      <c r="G342" s="38">
        <f>Scrap_copper_and_alloy_rate*kilograms_in_tonnes</f>
        <v>5000</v>
      </c>
      <c r="H342" s="72"/>
      <c r="I342" s="39">
        <f t="shared" ref="I342:I345" si="22">IF(H342="",G342,H342)</f>
        <v>5000</v>
      </c>
      <c r="J342" s="257" t="s">
        <v>243</v>
      </c>
      <c r="K342" s="45">
        <f t="shared" si="20"/>
        <v>0</v>
      </c>
      <c r="L342" s="82"/>
    </row>
    <row r="343" spans="1:12" ht="13">
      <c r="B343" s="14" t="s">
        <v>425</v>
      </c>
      <c r="C343" s="94">
        <f>_xlfn.XLOOKUP(C$13,Turbine_models,Turbine_aluminium)</f>
        <v>1.2999999999999999E-2</v>
      </c>
      <c r="D343" s="95">
        <f t="shared" si="21"/>
        <v>0</v>
      </c>
      <c r="G343" s="38">
        <f>Scrap_aluminium_and_alloy_rate*kilograms_in_tonnes</f>
        <v>2500</v>
      </c>
      <c r="H343" s="72"/>
      <c r="I343" s="39">
        <f t="shared" si="22"/>
        <v>2500</v>
      </c>
      <c r="J343" s="257" t="s">
        <v>243</v>
      </c>
      <c r="K343" s="45">
        <f t="shared" si="20"/>
        <v>0</v>
      </c>
      <c r="L343" s="82"/>
    </row>
    <row r="344" spans="1:12" ht="13">
      <c r="B344" s="14" t="s">
        <v>426</v>
      </c>
      <c r="C344" s="94"/>
      <c r="D344" s="95">
        <f t="shared" si="21"/>
        <v>0</v>
      </c>
      <c r="G344" s="38">
        <v>0</v>
      </c>
      <c r="H344" s="72"/>
      <c r="I344" s="39">
        <f t="shared" si="22"/>
        <v>0</v>
      </c>
      <c r="J344" s="257" t="s">
        <v>243</v>
      </c>
      <c r="K344" s="45">
        <f t="shared" si="20"/>
        <v>0</v>
      </c>
      <c r="L344" s="82"/>
    </row>
    <row r="345" spans="1:12" ht="13">
      <c r="B345" s="14" t="s">
        <v>427</v>
      </c>
      <c r="C345" s="94"/>
      <c r="D345" s="95">
        <f t="shared" si="21"/>
        <v>0</v>
      </c>
      <c r="G345" s="38">
        <f>Oil_recycle_rate</f>
        <v>500</v>
      </c>
      <c r="H345" s="72"/>
      <c r="I345" s="96">
        <f t="shared" si="22"/>
        <v>500</v>
      </c>
      <c r="J345" s="257" t="s">
        <v>353</v>
      </c>
      <c r="K345" s="45">
        <f t="shared" si="20"/>
        <v>0</v>
      </c>
      <c r="L345" s="82"/>
    </row>
    <row r="346" spans="1:12" ht="13">
      <c r="B346" s="14" t="s">
        <v>428</v>
      </c>
      <c r="C346" s="94"/>
      <c r="D346" s="95">
        <f t="shared" si="21"/>
        <v>0</v>
      </c>
      <c r="G346" s="38">
        <v>0</v>
      </c>
      <c r="H346" s="72"/>
      <c r="I346" s="96">
        <f>IF(H346="",G346,H346)</f>
        <v>0</v>
      </c>
      <c r="J346" s="257" t="s">
        <v>243</v>
      </c>
      <c r="K346" s="45">
        <f t="shared" si="20"/>
        <v>0</v>
      </c>
      <c r="L346" s="82"/>
    </row>
    <row r="347" spans="1:12" ht="13">
      <c r="B347" s="14" t="s">
        <v>429</v>
      </c>
      <c r="C347" s="94"/>
      <c r="D347" s="95">
        <f t="shared" si="21"/>
        <v>0</v>
      </c>
      <c r="G347" s="38">
        <v>0</v>
      </c>
      <c r="H347" s="72"/>
      <c r="I347" s="39">
        <f>IF(H347="",G347,H347)</f>
        <v>0</v>
      </c>
      <c r="J347" s="257" t="s">
        <v>243</v>
      </c>
      <c r="K347" s="45">
        <f t="shared" si="20"/>
        <v>0</v>
      </c>
      <c r="L347" s="82"/>
    </row>
    <row r="348" spans="1:12">
      <c r="L348" s="82"/>
    </row>
    <row r="349" spans="1:12" ht="13">
      <c r="H349" s="275" t="s">
        <v>1102</v>
      </c>
      <c r="I349" s="50">
        <f>IF($C$14=0,0,K349/$C$14)</f>
        <v>0</v>
      </c>
      <c r="J349" s="276" t="s">
        <v>378</v>
      </c>
      <c r="K349" s="35">
        <f>SUM(K338:K348)</f>
        <v>0</v>
      </c>
      <c r="L349" s="82"/>
    </row>
    <row r="350" spans="1:12">
      <c r="L350" s="82"/>
    </row>
    <row r="351" spans="1:12" ht="23.25" customHeight="1">
      <c r="B351" s="267" t="s">
        <v>332</v>
      </c>
      <c r="C351" s="264" t="s">
        <v>1106</v>
      </c>
      <c r="D351" s="264" t="s">
        <v>1327</v>
      </c>
      <c r="E351" s="271" t="s">
        <v>323</v>
      </c>
      <c r="F351" s="271"/>
      <c r="G351" s="270" t="s">
        <v>50</v>
      </c>
      <c r="H351" s="270" t="s">
        <v>73</v>
      </c>
      <c r="I351" s="270" t="s">
        <v>74</v>
      </c>
      <c r="J351" s="270" t="s">
        <v>75</v>
      </c>
      <c r="K351" s="270" t="s">
        <v>76</v>
      </c>
      <c r="L351" s="82"/>
    </row>
    <row r="352" spans="1:12" ht="13">
      <c r="B352" s="14" t="s">
        <v>52</v>
      </c>
      <c r="C352" s="313">
        <f>SUM(C353:C361)</f>
        <v>0</v>
      </c>
      <c r="D352" s="313">
        <f>SUM(D353:D361)</f>
        <v>0</v>
      </c>
      <c r="E352" s="238"/>
      <c r="F352" s="271"/>
      <c r="L352" s="82"/>
    </row>
    <row r="353" spans="1:12" ht="13">
      <c r="B353" s="64" t="str" cm="1">
        <f t="array" ref="B353:B357">'Cost Schedule'!B65:B69</f>
        <v>AC Low Voltage Cable</v>
      </c>
      <c r="C353" s="65">
        <f>C28</f>
        <v>0</v>
      </c>
      <c r="D353" s="313">
        <f>C353*_xlfn.XLOOKUP(E353,Assumptions!$B$27:$B$56,Assumptions!$E$27:$E$56)</f>
        <v>0</v>
      </c>
      <c r="E353" s="294" t="str">
        <f>E28</f>
        <v>AC Cables - low voltage - specific weight</v>
      </c>
      <c r="F353" s="77" t="s">
        <v>828</v>
      </c>
      <c r="G353" s="38">
        <f>IF(F353=Aluminium,Scrap_aluminium_and_alloy_rate,Scrap_copper_and_alloy_rate)*kilograms_in_tonnes</f>
        <v>5000</v>
      </c>
      <c r="H353" s="72"/>
      <c r="I353" s="39">
        <f>IF(H353="",G353,H353)</f>
        <v>5000</v>
      </c>
      <c r="K353" s="45">
        <f>D353*I353</f>
        <v>0</v>
      </c>
      <c r="L353" s="82"/>
    </row>
    <row r="354" spans="1:12" ht="13">
      <c r="B354" s="37" t="str">
        <v>AC medium Voltage Cable</v>
      </c>
      <c r="C354" s="65">
        <f>C29</f>
        <v>0</v>
      </c>
      <c r="D354" s="313">
        <f>C354*_xlfn.XLOOKUP(E354,Assumptions!$B$27:$B$56,Assumptions!$E$27:$E$56)</f>
        <v>0</v>
      </c>
      <c r="E354" s="294" t="str">
        <f>E29</f>
        <v>AC Cables - medium voltage - specific weight</v>
      </c>
      <c r="F354" s="77" t="s">
        <v>827</v>
      </c>
      <c r="G354" s="38">
        <f>IF(F354=Aluminium,Scrap_aluminium_and_alloy_rate,Scrap_copper_and_alloy_rate)*kilograms_in_tonnes</f>
        <v>2500</v>
      </c>
      <c r="H354" s="72"/>
      <c r="I354" s="39">
        <f t="shared" ref="I354:I361" si="23">IF(H354="",G354,H354)</f>
        <v>2500</v>
      </c>
      <c r="K354" s="45">
        <f t="shared" ref="K354:K361" si="24">D354*I354</f>
        <v>0</v>
      </c>
      <c r="L354" s="82"/>
    </row>
    <row r="355" spans="1:12" ht="13">
      <c r="B355" s="37" t="str">
        <v>Fibre / Control Cable</v>
      </c>
      <c r="C355" s="65">
        <f>C30</f>
        <v>0</v>
      </c>
      <c r="D355" s="313">
        <f>C355*_xlfn.XLOOKUP(E355,Assumptions!$B$27:$B$56,Assumptions!$E$27:$E$56)</f>
        <v>0</v>
      </c>
      <c r="E355" s="294" t="str">
        <f>E30</f>
        <v>Fibre/Control Cable - 0.75mm2</v>
      </c>
      <c r="F355" s="77" t="s">
        <v>828</v>
      </c>
      <c r="G355" s="38">
        <f>IF(F355=Aluminium,Scrap_aluminium_and_alloy_rate,Scrap_copper_and_alloy_rate)*kilograms_in_tonnes</f>
        <v>5000</v>
      </c>
      <c r="H355" s="72"/>
      <c r="I355" s="39">
        <f t="shared" si="23"/>
        <v>5000</v>
      </c>
      <c r="K355" s="45">
        <f t="shared" si="24"/>
        <v>0</v>
      </c>
      <c r="L355" s="82"/>
    </row>
    <row r="356" spans="1:12" ht="13">
      <c r="B356" s="37" t="str">
        <v>MV AC Collection System</v>
      </c>
      <c r="C356" s="65">
        <f>C31</f>
        <v>0</v>
      </c>
      <c r="D356" s="313">
        <f>C356*_xlfn.XLOOKUP(E356,Assumptions!$B$27:$B$56,Assumptions!$E$27:$E$56)</f>
        <v>0</v>
      </c>
      <c r="E356" s="294" t="str">
        <f>E31</f>
        <v>MV AC Cables - 3 core 95mm2</v>
      </c>
      <c r="F356" s="77" t="s">
        <v>827</v>
      </c>
      <c r="G356" s="38">
        <f t="shared" ref="G356:G361" si="25">IF(F356=Aluminium,Scrap_aluminium_and_alloy_rate,Scrap_copper_and_alloy_rate)*kilograms_in_tonnes</f>
        <v>2500</v>
      </c>
      <c r="H356" s="72"/>
      <c r="I356" s="39">
        <f t="shared" si="23"/>
        <v>2500</v>
      </c>
      <c r="K356" s="45">
        <f t="shared" si="24"/>
        <v>0</v>
      </c>
      <c r="L356" s="82"/>
    </row>
    <row r="357" spans="1:12" ht="13">
      <c r="B357" s="37" t="str">
        <v>LV Cable</v>
      </c>
      <c r="C357" s="65">
        <f>C32</f>
        <v>0</v>
      </c>
      <c r="D357" s="313">
        <f>C357*_xlfn.XLOOKUP(E357,Assumptions!$B$27:$B$56,Assumptions!$E$27:$E$56)</f>
        <v>0</v>
      </c>
      <c r="E357" s="294" t="str">
        <f>E32</f>
        <v>LV Cables - single core 16mm2</v>
      </c>
      <c r="F357" s="77" t="s">
        <v>828</v>
      </c>
      <c r="G357" s="38">
        <f t="shared" si="25"/>
        <v>5000</v>
      </c>
      <c r="H357" s="72"/>
      <c r="I357" s="39">
        <f t="shared" si="23"/>
        <v>5000</v>
      </c>
      <c r="K357" s="45">
        <f t="shared" si="24"/>
        <v>0</v>
      </c>
      <c r="L357" s="82"/>
    </row>
    <row r="358" spans="1:12" ht="13">
      <c r="A358" s="238"/>
      <c r="B358" s="81" t="s">
        <v>1345</v>
      </c>
      <c r="C358" s="87"/>
      <c r="D358" s="87"/>
      <c r="E358" s="77"/>
      <c r="F358" s="77" t="s">
        <v>828</v>
      </c>
      <c r="G358" s="38">
        <f t="shared" si="25"/>
        <v>5000</v>
      </c>
      <c r="H358" s="72"/>
      <c r="I358" s="39">
        <f t="shared" si="23"/>
        <v>5000</v>
      </c>
      <c r="K358" s="45">
        <f t="shared" si="24"/>
        <v>0</v>
      </c>
      <c r="L358" s="82"/>
    </row>
    <row r="359" spans="1:12" ht="13">
      <c r="A359" s="238"/>
      <c r="B359" s="81" t="s">
        <v>1345</v>
      </c>
      <c r="C359" s="87"/>
      <c r="D359" s="87"/>
      <c r="E359" s="77"/>
      <c r="F359" s="77" t="s">
        <v>827</v>
      </c>
      <c r="G359" s="38">
        <f t="shared" si="25"/>
        <v>2500</v>
      </c>
      <c r="H359" s="72"/>
      <c r="I359" s="39">
        <f t="shared" si="23"/>
        <v>2500</v>
      </c>
      <c r="K359" s="45">
        <f t="shared" si="24"/>
        <v>0</v>
      </c>
      <c r="L359" s="73"/>
    </row>
    <row r="360" spans="1:12" ht="13">
      <c r="A360" s="238"/>
      <c r="B360" s="81" t="s">
        <v>1345</v>
      </c>
      <c r="C360" s="87"/>
      <c r="D360" s="87"/>
      <c r="E360" s="77"/>
      <c r="F360" s="77" t="s">
        <v>828</v>
      </c>
      <c r="G360" s="38">
        <f t="shared" si="25"/>
        <v>5000</v>
      </c>
      <c r="H360" s="72"/>
      <c r="I360" s="39">
        <f t="shared" si="23"/>
        <v>5000</v>
      </c>
      <c r="K360" s="45">
        <f t="shared" si="24"/>
        <v>0</v>
      </c>
      <c r="L360" s="73"/>
    </row>
    <row r="361" spans="1:12" ht="13">
      <c r="A361" s="238"/>
      <c r="B361" s="81" t="s">
        <v>1345</v>
      </c>
      <c r="C361" s="87"/>
      <c r="D361" s="87"/>
      <c r="E361" s="77"/>
      <c r="F361" s="77" t="s">
        <v>827</v>
      </c>
      <c r="G361" s="38">
        <f t="shared" si="25"/>
        <v>2500</v>
      </c>
      <c r="H361" s="72"/>
      <c r="I361" s="39">
        <f t="shared" si="23"/>
        <v>2500</v>
      </c>
      <c r="K361" s="45">
        <f t="shared" si="24"/>
        <v>0</v>
      </c>
      <c r="L361" s="73"/>
    </row>
    <row r="363" spans="1:12" ht="13">
      <c r="G363" s="238"/>
      <c r="H363" s="265" t="s">
        <v>333</v>
      </c>
      <c r="I363" s="39">
        <f>IF($C$14=0,0,K363/$C$14)</f>
        <v>0</v>
      </c>
      <c r="J363" s="276" t="s">
        <v>378</v>
      </c>
      <c r="K363" s="35">
        <f>SUM(K351:K362)</f>
        <v>0</v>
      </c>
    </row>
  </sheetData>
  <sheetProtection algorithmName="SHA-512" hashValue="4slfxkkAUBXobCRThoFmW/UhIjsEB4oMmDnk1Wz4682vGqKnzXEkXSWuRASF2HU0hlMBmDqTANNbE1rXpXLIRA==" saltValue="sha4ijB5tBTcXnSFA7vxMw==" spinCount="100000" sheet="1" objects="1" scenarios="1" autoFilter="0"/>
  <phoneticPr fontId="8" type="noConversion"/>
  <dataValidations count="33">
    <dataValidation type="list" allowBlank="1" showInputMessage="1" showErrorMessage="1" sqref="E217" xr:uid="{1E5FE7A6-32AD-4CBD-A338-E4D3179163F3}">
      <formula1>Load_haul_dump_growth_media_onsite_names_UR</formula1>
    </dataValidation>
    <dataValidation type="list" allowBlank="1" showInputMessage="1" showErrorMessage="1" sqref="E235 E219 E292" xr:uid="{2DC289A9-6DDD-40CD-8173-F64C889A03C2}">
      <formula1>Load_haul_dump_soil_ameliorants_from_off_site_names_UR</formula1>
    </dataValidation>
    <dataValidation type="list" allowBlank="1" showInputMessage="1" showErrorMessage="1" sqref="E273 E283 E293" xr:uid="{ACEA1760-079C-48B9-A6E0-DD483E02E2A0}">
      <formula1>Disposal_gate_fee_names</formula1>
    </dataValidation>
    <dataValidation type="list" allowBlank="1" showInputMessage="1" showErrorMessage="1" sqref="E274 E284 E294 E119 E92 E105 E77 E133" xr:uid="{FB2645B8-32EA-4959-A57E-91B1DD4CC923}">
      <formula1>Waste_levy_names</formula1>
    </dataValidation>
    <dataValidation type="list" allowBlank="1" showInputMessage="1" showErrorMessage="1" sqref="E75" xr:uid="{ACFA7E07-BE86-4FFD-8B20-391F49F965BF}">
      <formula1>Long_haul_names_oil_UR</formula1>
    </dataValidation>
    <dataValidation type="list" allowBlank="1" showInputMessage="1" showErrorMessage="1" sqref="E272 E131" xr:uid="{39E3738D-C302-40B6-AC36-DC76A365664F}">
      <formula1>Long_haul_names_concrete_UR</formula1>
    </dataValidation>
    <dataValidation type="list" allowBlank="1" showInputMessage="1" showErrorMessage="1" sqref="E282" xr:uid="{159364EE-3C35-41F9-AD81-4564FEAA7747}">
      <formula1>Long_haul_names_steel_UR</formula1>
    </dataValidation>
    <dataValidation type="list" allowBlank="1" showInputMessage="1" showErrorMessage="1" sqref="E140:E157" xr:uid="{A1EB21B6-5070-4BB4-9953-1A6A2896F228}">
      <formula1>Roads_tracks_laydown_list_UR</formula1>
    </dataValidation>
    <dataValidation type="list" allowBlank="1" showInputMessage="1" showErrorMessage="1" sqref="E195:E199" xr:uid="{4F0C286F-814D-443A-B239-9425E22A7E00}">
      <formula1>Buildings_by_number_names_UR</formula1>
    </dataValidation>
    <dataValidation type="list" allowBlank="1" showInputMessage="1" showErrorMessage="1" sqref="E190 E200" xr:uid="{2E83EFCB-F976-4005-A64D-6A5E41AC8A4B}">
      <formula1>Buildings_by_area_names_UR</formula1>
    </dataValidation>
    <dataValidation type="list" allowBlank="1" showInputMessage="1" showErrorMessage="1" sqref="E89" xr:uid="{CE9C6A70-D6DD-4C93-8F4A-E46485FEF24B}">
      <formula1>Blades_hub_haul_unload_names_UR</formula1>
    </dataValidation>
    <dataValidation type="list" allowBlank="1" showInputMessage="1" showErrorMessage="1" sqref="E103" xr:uid="{8FDA6B63-9841-41B5-961B-F87E8F9F2C9A}">
      <formula1>Nacelles_haul_unload_names_UR</formula1>
    </dataValidation>
    <dataValidation type="list" allowBlank="1" showInputMessage="1" showErrorMessage="1" sqref="E117" xr:uid="{A34EB8FE-E95F-40BD-A4D3-E736A5924AE1}">
      <formula1>Towers_haul_unload_names_UR</formula1>
    </dataValidation>
    <dataValidation type="list" allowBlank="1" showInputMessage="1" showErrorMessage="1" sqref="E33:E36" xr:uid="{3C7A357E-F01A-4AF8-8031-2C29BAC5A1A4}">
      <formula1>Cable_drums_haul_unload_names_UR</formula1>
    </dataValidation>
    <dataValidation type="list" allowBlank="1" showInputMessage="1" showErrorMessage="1" sqref="E300" xr:uid="{36867BF4-17EC-4F5A-A064-EDF0031D04B4}">
      <formula1>Mobe_names_wind_CS</formula1>
    </dataValidation>
    <dataValidation type="list" allowBlank="1" showInputMessage="1" showErrorMessage="1" sqref="E302" xr:uid="{F186750E-1721-4FAD-9EB9-D1EBAED830D3}">
      <formula1>Mobe_names_land_CS</formula1>
    </dataValidation>
    <dataValidation type="list" allowBlank="1" showInputMessage="1" showErrorMessage="1" sqref="E301" xr:uid="{127A3FF9-5A93-4DC8-8D4C-1F9446F4A69A}">
      <formula1>Mobe_names_electrical_CS</formula1>
    </dataValidation>
    <dataValidation type="list" allowBlank="1" showInputMessage="1" showErrorMessage="1" sqref="E249" xr:uid="{A78F2FA9-2E01-4C86-9D66-C0096200A454}">
      <formula1>Revegetation_names_UR</formula1>
    </dataValidation>
    <dataValidation type="list" allowBlank="1" showInputMessage="1" showErrorMessage="1" sqref="F353:F361" xr:uid="{255AEC14-946C-42EB-A5FB-D7EAD38220D5}">
      <formula1>Electrical_cable_material</formula1>
    </dataValidation>
    <dataValidation type="list" allowBlank="1" showInputMessage="1" showErrorMessage="1" sqref="C13" xr:uid="{CF11C2F9-F12A-41A1-9A16-4355DCCF6751}">
      <formula1>Turbine_models</formula1>
    </dataValidation>
    <dataValidation type="custom" allowBlank="1" showInputMessage="1" showErrorMessage="1" error="Please enter a numeric value." sqref="C11:C12 C65:C66 C178:C179 H65:H66 H178:H179 C73" xr:uid="{A58E5ADE-97AB-41DC-9DB7-904C3999526B}">
      <formula1>ISNUMBER(C11:C12)</formula1>
    </dataValidation>
    <dataValidation type="custom" allowBlank="1" showInputMessage="1" showErrorMessage="1" error="Please enter a numeric value." sqref="C14 C42 C48 C100 C270 C280 C290 H42 H48 H249 H353:H361 C114 C125:C126 C111 C87 C72" xr:uid="{F7490159-B2FC-4A72-8D58-ED0F04F9D973}">
      <formula1>ISNUMBER(C14)</formula1>
    </dataValidation>
    <dataValidation type="custom" allowBlank="1" showInputMessage="1" showErrorMessage="1" error="Please enter a numeric value." sqref="C18:C22 C28:C32 C185:C189 C195:C199 H18:H22 H73:H77 H185:H189 H195:H199" xr:uid="{9694D890-89B8-4005-B481-498FFF4401E3}">
      <formula1>ISNUMBER(C18:C22)</formula1>
    </dataValidation>
    <dataValidation type="custom" allowBlank="1" showInputMessage="1" showErrorMessage="1" error="Please enter a numeric value." sqref="C54:C59 C320:C325 H54:H59 H320:H325 H308:H310 C308:C310" xr:uid="{C6D4E9FB-EF95-4504-9A3F-C01C872E9E6D}">
      <formula1>ISNUMBER(C54:C59)</formula1>
    </dataValidation>
    <dataValidation type="custom" allowBlank="1" showInputMessage="1" showErrorMessage="1" error="Please enter a numeric value." sqref="C256:C259 C112:C113" xr:uid="{947316CF-F5C0-44DA-A4F3-294CECEDF699}">
      <formula1>ISNUMBER(C112:C115)</formula1>
    </dataValidation>
    <dataValidation type="custom" allowBlank="1" showInputMessage="1" showErrorMessage="1" error="Please enter a numeric value." sqref="C300:C302 H217:H219 H234:H236 H261:H263 H272:H274 H282:H284 H292:H294 H331:H333 C127 H300:H302" xr:uid="{C5B99977-2BA9-4B17-9226-8FCBF99AF94F}">
      <formula1>ISNUMBER(C127:C129)</formula1>
    </dataValidation>
    <dataValidation type="custom" allowBlank="1" showInputMessage="1" showErrorMessage="1" error="Please enter a numeric value." sqref="C140:C157 H140:H157" xr:uid="{0BE87D12-6D83-430D-92B0-3CAE4ED433EB}">
      <formula1>ISNUMBER(C140:C157)</formula1>
    </dataValidation>
    <dataValidation type="custom" allowBlank="1" showInputMessage="1" showErrorMessage="1" error="Please enter a numeric value." sqref="C163:C172 C205:C214 C216 H163:H172 C232 C249" xr:uid="{18B247B0-0C48-41FD-AB5F-717724D84D10}">
      <formula1>ISNUMBER(C163:C172)</formula1>
    </dataValidation>
    <dataValidation type="custom" allowBlank="1" showInputMessage="1" showErrorMessage="1" error="Please enter a numeric value." sqref="C225:C231 H341:H347 H99:H105 H128:H134 C242:C248 C311:C313 H311:H313" xr:uid="{09E8C9FA-291D-43D4-BEA2-EDD2891E0370}">
      <formula1>ISNUMBER(C99:C105)</formula1>
    </dataValidation>
    <dataValidation type="decimal" allowBlank="1" showInputMessage="1" showErrorMessage="1" error="Please enter a valid percentage." sqref="D331:D333" xr:uid="{834AAFE6-5224-4884-9B4B-BBD9416D330D}">
      <formula1>0</formula1>
      <formula2>100</formula2>
    </dataValidation>
    <dataValidation type="custom" allowBlank="1" showInputMessage="1" showErrorMessage="1" error="Please enter a numeric value." sqref="C358:D361" xr:uid="{AF8CBC9B-B127-4B70-A93B-16C0CB536800}">
      <formula1>ISNUMBER(C358:D361)</formula1>
    </dataValidation>
    <dataValidation type="custom" allowBlank="1" showInputMessage="1" showErrorMessage="1" error="Please enter a numeric value." sqref="H28:H36 H111:H119" xr:uid="{2D492FBD-7A60-4A94-A265-9D21433A4C46}">
      <formula1>ISNUMBER(H28:H36)</formula1>
    </dataValidation>
    <dataValidation type="custom" allowBlank="1" showInputMessage="1" showErrorMessage="1" error="Please enter a numeric value." sqref="H85:H92" xr:uid="{A49A2F8A-4D57-4AE4-8CB2-E44AC5BAE519}">
      <formula1>ISNUMBER(H85:H92)</formula1>
    </dataValidation>
  </dataValidations>
  <hyperlinks>
    <hyperlink ref="B4" location="Information" display="Return to Information" xr:uid="{0987D08E-AB04-4E9C-B081-0F20FA8AF50A}"/>
    <hyperlink ref="B6" location="Summary_wind" display="Summary Page" xr:uid="{FC2DEC20-D73B-493B-8F9C-3A7FD5986D70}"/>
  </hyperlinks>
  <pageMargins left="0.7" right="0.7" top="0.75" bottom="0.75" header="0.3" footer="0.3"/>
  <extLst>
    <ext xmlns:x14="http://schemas.microsoft.com/office/spreadsheetml/2009/9/main" uri="{CCE6A557-97BC-4b89-ADB6-D9C93CAAB3DF}">
      <x14:dataValidations xmlns:xm="http://schemas.microsoft.com/office/excel/2006/main" count="16">
        <x14:dataValidation type="list" allowBlank="1" showInputMessage="1" showErrorMessage="1" xr:uid="{353985B6-8CD4-42C0-86F3-6091BBFB5661}">
          <x14:formula1>
            <xm:f>Lists!#REF!</xm:f>
          </x14:formula1>
          <xm:sqref>E234</xm:sqref>
        </x14:dataValidation>
        <x14:dataValidation type="list" allowBlank="1" showInputMessage="1" showErrorMessage="1" xr:uid="{92707967-858E-4403-8CF7-880EFD4E89DE}">
          <x14:formula1>
            <xm:f>Rates!$B$137:$B$138</xm:f>
          </x14:formula1>
          <xm:sqref>E76</xm:sqref>
        </x14:dataValidation>
        <x14:dataValidation type="list" allowBlank="1" showInputMessage="1" showErrorMessage="1" xr:uid="{F9E14C82-6BD6-48F8-A4B3-1B97183E3A1D}">
          <x14:formula1>
            <xm:f>Rates!$B$132:$B$133</xm:f>
          </x14:formula1>
          <xm:sqref>E91</xm:sqref>
        </x14:dataValidation>
        <x14:dataValidation type="list" allowBlank="1" showInputMessage="1" showErrorMessage="1" xr:uid="{C2B44EEB-06DB-4F93-8E67-39E15279DAF0}">
          <x14:formula1>
            <xm:f>Lists!$B$33:$B$35</xm:f>
          </x14:formula1>
          <xm:sqref>F140:F157</xm:sqref>
        </x14:dataValidation>
        <x14:dataValidation type="list" allowBlank="1" showInputMessage="1" showErrorMessage="1" xr:uid="{27F6747F-C24A-4C63-AF0D-A5A5BB93D3AA}">
          <x14:formula1>
            <xm:f>'Cost Schedule'!$B$212:$B$214</xm:f>
          </x14:formula1>
          <xm:sqref>E163:E172</xm:sqref>
        </x14:dataValidation>
        <x14:dataValidation type="list" allowBlank="1" showInputMessage="1" showErrorMessage="1" xr:uid="{CF2E1C31-F1DF-4A14-A9F7-6E4145C7A9C6}">
          <x14:formula1>
            <xm:f>Lists!$B$164:$B$166</xm:f>
          </x14:formula1>
          <xm:sqref>F163:F172 F178:F179</xm:sqref>
        </x14:dataValidation>
        <x14:dataValidation type="list" allowBlank="1" showInputMessage="1" showErrorMessage="1" xr:uid="{36230704-9542-40B6-B976-3CB73975766B}">
          <x14:formula1>
            <xm:f>'Cost Schedule'!$B$6:$B$8</xm:f>
          </x14:formula1>
          <xm:sqref>E178:E179</xm:sqref>
        </x14:dataValidation>
        <x14:dataValidation type="list" allowBlank="1" showInputMessage="1" showErrorMessage="1" xr:uid="{D8F01695-CD2F-4496-A5CA-1D273EAEFB42}">
          <x14:formula1>
            <xm:f>Lists!$B$184:$B$185</xm:f>
          </x14:formula1>
          <xm:sqref>E85</xm:sqref>
        </x14:dataValidation>
        <x14:dataValidation type="list" allowBlank="1" showInputMessage="1" showErrorMessage="1" xr:uid="{411CA209-BB7E-4775-8795-B95A8192DA93}">
          <x14:formula1>
            <xm:f>Assumptions!$B$45:$B$49</xm:f>
          </x14:formula1>
          <xm:sqref>E30</xm:sqref>
        </x14:dataValidation>
        <x14:dataValidation type="list" allowBlank="1" showInputMessage="1" showErrorMessage="1" xr:uid="{EBAC8D37-BAD1-4E2B-A773-63073E71DFB1}">
          <x14:formula1>
            <xm:f>Assumptions!$B$50:$B$51</xm:f>
          </x14:formula1>
          <xm:sqref>E31</xm:sqref>
        </x14:dataValidation>
        <x14:dataValidation type="list" allowBlank="1" showInputMessage="1" showErrorMessage="1" xr:uid="{80428FC0-CFA3-4B31-81B9-6A7FCE6E49E1}">
          <x14:formula1>
            <xm:f>'Cost Schedule'!$B$30:$B$34</xm:f>
          </x14:formula1>
          <xm:sqref>E185:E189</xm:sqref>
        </x14:dataValidation>
        <x14:dataValidation type="list" allowBlank="1" showInputMessage="1" showErrorMessage="1" xr:uid="{B4B17331-A3C7-4680-BA8C-F17B5B0BCA4A}">
          <x14:formula1>
            <xm:f>Assumptions!$B$43:$B$44</xm:f>
          </x14:formula1>
          <xm:sqref>E28:E29</xm:sqref>
        </x14:dataValidation>
        <x14:dataValidation type="list" allowBlank="1" showInputMessage="1" showErrorMessage="1" xr:uid="{12648877-C6B8-43F7-94F8-3EAE5E26861E}">
          <x14:formula1>
            <xm:f>Assumptions!$B$52:$B$56</xm:f>
          </x14:formula1>
          <xm:sqref>E32</xm:sqref>
        </x14:dataValidation>
        <x14:dataValidation type="list" allowBlank="1" showInputMessage="1" showErrorMessage="1" xr:uid="{F2FD3F20-2D65-4DBE-89AB-B09C0A2C624C}">
          <x14:formula1>
            <xm:f>'Cost Schedule'!$B$43:$B$45</xm:f>
          </x14:formula1>
          <xm:sqref>E262</xm:sqref>
        </x14:dataValidation>
        <x14:dataValidation type="list" allowBlank="1" showInputMessage="1" showErrorMessage="1" xr:uid="{2B82D764-A3AD-4BA3-A466-7890ED6F3B4D}">
          <x14:formula1>
            <xm:f>'Cost Schedule'!$B$427:$B$429</xm:f>
          </x14:formula1>
          <xm:sqref>E54:E59</xm:sqref>
        </x14:dataValidation>
        <x14:dataValidation type="list" allowBlank="1" showInputMessage="1" showErrorMessage="1" xr:uid="{75432A07-70CD-46F1-9E45-1C602CDC855B}">
          <x14:formula1>
            <xm:f>'Cost Schedule'!$B$236:$B$246</xm:f>
          </x14:formula1>
          <xm:sqref>E263 E261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ED6BC-E39C-4E87-94A9-DA94D1C8E0A1}">
  <sheetPr codeName="Sheet7">
    <tabColor theme="9"/>
  </sheetPr>
  <dimension ref="B2:L336"/>
  <sheetViews>
    <sheetView showGridLines="0" zoomScale="85" zoomScaleNormal="85" workbookViewId="0">
      <pane xSplit="4" ySplit="8" topLeftCell="E9" activePane="bottomRight" state="frozen"/>
      <selection pane="topRight" activeCell="E1" sqref="E1"/>
      <selection pane="bottomLeft" activeCell="A10" sqref="A10"/>
      <selection pane="bottomRight"/>
    </sheetView>
  </sheetViews>
  <sheetFormatPr defaultColWidth="8.7265625" defaultRowHeight="12.5"/>
  <cols>
    <col min="1" max="1" width="1.81640625" style="238" customWidth="1"/>
    <col min="2" max="2" width="55.1796875" style="238" customWidth="1"/>
    <col min="3" max="3" width="12.54296875" style="238" customWidth="1"/>
    <col min="4" max="4" width="14.81640625" style="238" customWidth="1"/>
    <col min="5" max="5" width="62.7265625" style="238" customWidth="1"/>
    <col min="6" max="6" width="15" style="238" customWidth="1"/>
    <col min="7" max="7" width="13.26953125" style="238" customWidth="1"/>
    <col min="8" max="8" width="12.54296875" style="238" customWidth="1"/>
    <col min="9" max="9" width="13.26953125" style="238" customWidth="1"/>
    <col min="10" max="10" width="14.81640625" style="238" customWidth="1"/>
    <col min="11" max="11" width="15.54296875" style="238" customWidth="1"/>
    <col min="12" max="12" width="53.453125" style="238" customWidth="1"/>
    <col min="13" max="16384" width="8.7265625" style="238"/>
  </cols>
  <sheetData>
    <row r="2" spans="2:12" ht="17.25" customHeight="1">
      <c r="B2" s="237" t="str">
        <f>Project_Name</f>
        <v xml:space="preserve">South Australia Hydrogen and Renewable Energy Restoration Cost Estimation Tool </v>
      </c>
      <c r="J2" s="249" t="s">
        <v>56</v>
      </c>
      <c r="K2" s="99">
        <f>SUM(K24,K39,K62,K55,K45,K72,K86,K109,K123,K130,K140,K150,K170,K187,K200,K209,K219,K237,K248,K258,K268,K276,K286,K305,K297)</f>
        <v>0</v>
      </c>
      <c r="L2" s="100"/>
    </row>
    <row r="3" spans="2:12" ht="3" customHeight="1">
      <c r="J3" s="249"/>
    </row>
    <row r="4" spans="2:12" ht="15.75" customHeight="1">
      <c r="B4" s="36" t="s">
        <v>31</v>
      </c>
      <c r="J4" s="249" t="s">
        <v>57</v>
      </c>
      <c r="K4" s="35">
        <f>K321+K336</f>
        <v>0</v>
      </c>
    </row>
    <row r="5" spans="2:12" ht="3" customHeight="1">
      <c r="J5" s="249"/>
    </row>
    <row r="6" spans="2:12" ht="18" customHeight="1">
      <c r="B6" s="36" t="s">
        <v>1280</v>
      </c>
      <c r="E6" s="248"/>
      <c r="F6" s="248"/>
      <c r="G6" s="248"/>
      <c r="H6" s="248"/>
      <c r="I6" s="248"/>
      <c r="J6" s="249" t="s">
        <v>58</v>
      </c>
      <c r="K6" s="35">
        <f>K2-K4</f>
        <v>0</v>
      </c>
    </row>
    <row r="7" spans="2:12" ht="3" customHeight="1">
      <c r="E7" s="238" t="s">
        <v>432</v>
      </c>
    </row>
    <row r="8" spans="2:12" ht="17.25" customHeight="1">
      <c r="B8" s="216" t="s">
        <v>15</v>
      </c>
      <c r="C8" s="216"/>
      <c r="D8" s="216"/>
      <c r="E8" s="216"/>
      <c r="F8" s="216"/>
      <c r="G8" s="216"/>
      <c r="H8" s="216"/>
      <c r="I8" s="216"/>
      <c r="J8" s="216"/>
      <c r="K8" s="216"/>
      <c r="L8" s="216" t="s">
        <v>59</v>
      </c>
    </row>
    <row r="9" spans="2:12" ht="13">
      <c r="B9" s="260"/>
      <c r="C9" s="260"/>
      <c r="D9" s="260"/>
      <c r="G9" s="260"/>
      <c r="H9" s="260"/>
      <c r="I9" s="260"/>
      <c r="J9" s="260"/>
      <c r="K9" s="260"/>
      <c r="L9" s="260"/>
    </row>
    <row r="10" spans="2:12" ht="13">
      <c r="B10" s="217" t="s">
        <v>60</v>
      </c>
      <c r="C10" s="217"/>
      <c r="D10" s="217"/>
      <c r="E10" s="217"/>
      <c r="F10" s="217"/>
      <c r="G10" s="217"/>
      <c r="H10" s="217"/>
      <c r="I10" s="217"/>
      <c r="J10" s="217"/>
      <c r="K10" s="217"/>
      <c r="L10" s="217"/>
    </row>
    <row r="11" spans="2:12" ht="13">
      <c r="B11" s="37" t="s">
        <v>61</v>
      </c>
      <c r="C11" s="67"/>
      <c r="D11" s="238" t="s">
        <v>62</v>
      </c>
      <c r="G11" s="260"/>
      <c r="H11" s="260"/>
      <c r="I11" s="260"/>
      <c r="J11" s="260"/>
      <c r="K11" s="260"/>
      <c r="L11" s="70"/>
    </row>
    <row r="12" spans="2:12" ht="13">
      <c r="B12" s="37" t="s">
        <v>63</v>
      </c>
      <c r="C12" s="67"/>
      <c r="D12" s="238" t="s">
        <v>64</v>
      </c>
      <c r="G12" s="260"/>
      <c r="H12" s="260"/>
      <c r="I12" s="260"/>
      <c r="J12" s="260"/>
      <c r="K12" s="260"/>
      <c r="L12" s="70"/>
    </row>
    <row r="13" spans="2:12" ht="13">
      <c r="B13" s="37"/>
      <c r="C13" s="67"/>
      <c r="D13" s="238" t="s">
        <v>433</v>
      </c>
      <c r="G13" s="260"/>
      <c r="H13" s="260"/>
      <c r="I13" s="260"/>
      <c r="J13" s="260"/>
      <c r="K13" s="260"/>
      <c r="L13" s="70"/>
    </row>
    <row r="14" spans="2:12" ht="25">
      <c r="B14" s="37" t="s">
        <v>1149</v>
      </c>
      <c r="C14" s="68" t="s">
        <v>436</v>
      </c>
      <c r="G14" s="260"/>
      <c r="H14" s="260"/>
      <c r="I14" s="260"/>
      <c r="J14" s="260"/>
      <c r="K14" s="260"/>
      <c r="L14" s="70"/>
    </row>
    <row r="15" spans="2:12" ht="13">
      <c r="B15" s="37" t="s">
        <v>437</v>
      </c>
      <c r="C15" s="69"/>
      <c r="D15" s="238" t="s">
        <v>438</v>
      </c>
      <c r="G15" s="260"/>
      <c r="H15" s="260"/>
      <c r="I15" s="260"/>
      <c r="J15" s="260"/>
      <c r="K15" s="260"/>
      <c r="L15" s="70"/>
    </row>
    <row r="16" spans="2:12">
      <c r="L16" s="70"/>
    </row>
    <row r="17" spans="2:12" ht="13">
      <c r="B17" s="217" t="s">
        <v>70</v>
      </c>
      <c r="C17" s="217"/>
      <c r="D17" s="217"/>
      <c r="E17" s="217"/>
      <c r="F17" s="217"/>
      <c r="G17" s="217"/>
      <c r="H17" s="217"/>
      <c r="I17" s="217"/>
      <c r="J17" s="217"/>
      <c r="K17" s="217"/>
      <c r="L17" s="217"/>
    </row>
    <row r="18" spans="2:12" ht="13">
      <c r="B18" s="261" t="s">
        <v>71</v>
      </c>
      <c r="C18" s="262" t="s">
        <v>72</v>
      </c>
      <c r="D18" s="262" t="s">
        <v>51</v>
      </c>
      <c r="E18" s="260"/>
      <c r="G18" s="263" t="s">
        <v>50</v>
      </c>
      <c r="H18" s="263" t="s">
        <v>73</v>
      </c>
      <c r="I18" s="263" t="s">
        <v>74</v>
      </c>
      <c r="J18" s="263" t="s">
        <v>75</v>
      </c>
      <c r="K18" s="263" t="s">
        <v>76</v>
      </c>
      <c r="L18" s="70"/>
    </row>
    <row r="19" spans="2:12" ht="13">
      <c r="B19" s="37" t="str" cm="1">
        <f t="array" ref="B19:B22">'Cost Schedule'!B53:B56</f>
        <v>Disconnect grid - major</v>
      </c>
      <c r="C19" s="69"/>
      <c r="D19" s="257" t="s">
        <v>77</v>
      </c>
      <c r="E19" s="257"/>
      <c r="F19" s="257"/>
      <c r="G19" s="38">
        <f>'Cost Schedule'!C53</f>
        <v>35874.617880143458</v>
      </c>
      <c r="H19" s="72"/>
      <c r="I19" s="39">
        <f>IF(H19="",G19,H19)</f>
        <v>35874.617880143458</v>
      </c>
      <c r="J19" s="257" t="s">
        <v>78</v>
      </c>
      <c r="K19" s="41">
        <f>I19*C19</f>
        <v>0</v>
      </c>
      <c r="L19" s="73"/>
    </row>
    <row r="20" spans="2:12" ht="13">
      <c r="B20" s="37" t="str">
        <v>Disconnect grid - minor</v>
      </c>
      <c r="C20" s="69"/>
      <c r="D20" s="257" t="s">
        <v>77</v>
      </c>
      <c r="E20" s="257"/>
      <c r="F20" s="257"/>
      <c r="G20" s="38">
        <f>'Cost Schedule'!C54</f>
        <v>25874.617880143454</v>
      </c>
      <c r="H20" s="72"/>
      <c r="I20" s="39">
        <f>IF(H20="",G20,H20)</f>
        <v>25874.617880143454</v>
      </c>
      <c r="J20" s="257" t="s">
        <v>78</v>
      </c>
      <c r="K20" s="41">
        <f>I20*C20</f>
        <v>0</v>
      </c>
      <c r="L20" s="73"/>
    </row>
    <row r="21" spans="2:12" ht="13">
      <c r="B21" s="37" t="str">
        <v>Disconnect utilities (site-wide)</v>
      </c>
      <c r="C21" s="69"/>
      <c r="D21" s="257" t="s">
        <v>77</v>
      </c>
      <c r="E21" s="257"/>
      <c r="F21" s="257"/>
      <c r="G21" s="38">
        <f>'Cost Schedule'!C55</f>
        <v>25874.617880143454</v>
      </c>
      <c r="H21" s="72"/>
      <c r="I21" s="39">
        <f>IF(H21="",G21,H21)</f>
        <v>25874.617880143454</v>
      </c>
      <c r="J21" s="257" t="s">
        <v>78</v>
      </c>
      <c r="K21" s="41">
        <f>I21*C21</f>
        <v>0</v>
      </c>
      <c r="L21" s="73"/>
    </row>
    <row r="22" spans="2:12" ht="13">
      <c r="B22" s="37" t="str">
        <v>Disconnect utilities (remote)</v>
      </c>
      <c r="C22" s="69"/>
      <c r="D22" s="257" t="s">
        <v>77</v>
      </c>
      <c r="E22" s="257"/>
      <c r="F22" s="257"/>
      <c r="G22" s="38">
        <f>'Cost Schedule'!C56</f>
        <v>20874.617880143454</v>
      </c>
      <c r="H22" s="72"/>
      <c r="I22" s="39">
        <f>IF(H22="",G22,H22)</f>
        <v>20874.617880143454</v>
      </c>
      <c r="J22" s="257" t="s">
        <v>78</v>
      </c>
      <c r="K22" s="41">
        <f>I22*C22</f>
        <v>0</v>
      </c>
      <c r="L22" s="73"/>
    </row>
    <row r="23" spans="2:12" s="214" customFormat="1">
      <c r="C23" s="328"/>
      <c r="L23" s="70"/>
    </row>
    <row r="24" spans="2:12" s="214" customFormat="1" ht="13">
      <c r="B24" s="220" t="s">
        <v>79</v>
      </c>
      <c r="C24" s="101">
        <f>SUM(C18:C23)</f>
        <v>0</v>
      </c>
      <c r="D24" s="238" t="s">
        <v>77</v>
      </c>
      <c r="H24" s="265" t="s">
        <v>80</v>
      </c>
      <c r="I24" s="39">
        <f>IF(C24=0,0,K24/C24)</f>
        <v>0</v>
      </c>
      <c r="J24" s="266" t="s">
        <v>439</v>
      </c>
      <c r="K24" s="102">
        <f>SUM(K18:K23)</f>
        <v>0</v>
      </c>
      <c r="L24" s="73"/>
    </row>
    <row r="25" spans="2:12" ht="13">
      <c r="B25" s="260"/>
      <c r="C25" s="260"/>
      <c r="D25" s="260"/>
      <c r="G25" s="260"/>
      <c r="H25" s="260"/>
      <c r="I25" s="260"/>
      <c r="J25" s="260"/>
      <c r="K25" s="260"/>
      <c r="L25" s="70"/>
    </row>
    <row r="26" spans="2:12" ht="13">
      <c r="B26" s="217" t="s">
        <v>82</v>
      </c>
      <c r="C26" s="217"/>
      <c r="D26" s="217"/>
      <c r="E26" s="217"/>
      <c r="F26" s="217"/>
      <c r="G26" s="217"/>
      <c r="H26" s="217"/>
      <c r="I26" s="217"/>
      <c r="J26" s="217"/>
      <c r="K26" s="217"/>
      <c r="L26" s="217"/>
    </row>
    <row r="27" spans="2:12" s="257" customFormat="1" ht="27.75" customHeight="1">
      <c r="B27" s="267" t="s">
        <v>71</v>
      </c>
      <c r="C27" s="268" t="s">
        <v>72</v>
      </c>
      <c r="D27" s="268" t="s">
        <v>51</v>
      </c>
      <c r="E27" s="264" t="s">
        <v>83</v>
      </c>
      <c r="G27" s="270" t="s">
        <v>50</v>
      </c>
      <c r="H27" s="270" t="s">
        <v>73</v>
      </c>
      <c r="I27" s="270" t="s">
        <v>74</v>
      </c>
      <c r="J27" s="270" t="s">
        <v>75</v>
      </c>
      <c r="K27" s="270" t="s">
        <v>76</v>
      </c>
      <c r="L27" s="44" t="s">
        <v>84</v>
      </c>
    </row>
    <row r="28" spans="2:12" s="257" customFormat="1" ht="13">
      <c r="B28" s="37" t="s">
        <v>85</v>
      </c>
      <c r="C28" s="67"/>
      <c r="D28" s="257" t="s">
        <v>86</v>
      </c>
      <c r="E28" s="74" t="s">
        <v>87</v>
      </c>
      <c r="F28" s="271"/>
      <c r="G28" s="38">
        <f>'Cost Schedule'!C62</f>
        <v>2688.448675089659</v>
      </c>
      <c r="H28" s="72"/>
      <c r="I28" s="39">
        <f t="shared" ref="I28:I37" si="0">IF(H28="",G28,H28)</f>
        <v>2688.448675089659</v>
      </c>
      <c r="J28" s="257" t="s">
        <v>86</v>
      </c>
      <c r="K28" s="45">
        <f t="shared" ref="K28:K33" si="1">I28*C28</f>
        <v>0</v>
      </c>
      <c r="L28" s="73"/>
    </row>
    <row r="29" spans="2:12" s="257" customFormat="1" ht="13">
      <c r="B29" s="37" t="s">
        <v>88</v>
      </c>
      <c r="C29" s="67"/>
      <c r="D29" s="257" t="s">
        <v>86</v>
      </c>
      <c r="E29" s="74" t="s">
        <v>89</v>
      </c>
      <c r="F29" s="271"/>
      <c r="G29" s="38">
        <f>'Cost Schedule'!C63</f>
        <v>3451.6632667463637</v>
      </c>
      <c r="H29" s="72"/>
      <c r="I29" s="39">
        <f t="shared" si="0"/>
        <v>3451.6632667463637</v>
      </c>
      <c r="J29" s="257" t="s">
        <v>86</v>
      </c>
      <c r="K29" s="45">
        <f t="shared" si="1"/>
        <v>0</v>
      </c>
      <c r="L29" s="73"/>
    </row>
    <row r="30" spans="2:12" s="257" customFormat="1" ht="13">
      <c r="B30" s="37" t="s">
        <v>90</v>
      </c>
      <c r="C30" s="67"/>
      <c r="D30" s="257" t="s">
        <v>86</v>
      </c>
      <c r="E30" s="74" t="s">
        <v>91</v>
      </c>
      <c r="F30" s="271"/>
      <c r="G30" s="38">
        <f>'Cost Schedule'!C64</f>
        <v>16082.484700358636</v>
      </c>
      <c r="H30" s="72"/>
      <c r="I30" s="39">
        <f t="shared" si="0"/>
        <v>16082.484700358636</v>
      </c>
      <c r="J30" s="257" t="s">
        <v>86</v>
      </c>
      <c r="K30" s="45">
        <f t="shared" si="1"/>
        <v>0</v>
      </c>
      <c r="L30" s="73"/>
    </row>
    <row r="31" spans="2:12" s="257" customFormat="1" ht="13">
      <c r="B31" s="37" t="s">
        <v>92</v>
      </c>
      <c r="C31" s="67"/>
      <c r="D31" s="257" t="s">
        <v>86</v>
      </c>
      <c r="E31" s="74" t="s">
        <v>93</v>
      </c>
      <c r="F31" s="271"/>
      <c r="G31" s="38">
        <f>'Cost Schedule'!C65</f>
        <v>3573.8854889685858</v>
      </c>
      <c r="H31" s="72"/>
      <c r="I31" s="39">
        <f t="shared" si="0"/>
        <v>3573.8854889685858</v>
      </c>
      <c r="J31" s="257" t="s">
        <v>86</v>
      </c>
      <c r="K31" s="45">
        <f t="shared" si="1"/>
        <v>0</v>
      </c>
      <c r="L31" s="73"/>
    </row>
    <row r="32" spans="2:12" s="257" customFormat="1" ht="13">
      <c r="B32" s="37" t="s">
        <v>94</v>
      </c>
      <c r="C32" s="67"/>
      <c r="D32" s="257" t="s">
        <v>86</v>
      </c>
      <c r="E32" s="74" t="s">
        <v>95</v>
      </c>
      <c r="F32" s="271"/>
      <c r="G32" s="38">
        <f>'Cost Schedule'!C66</f>
        <v>16082.484700358636</v>
      </c>
      <c r="H32" s="72"/>
      <c r="I32" s="39">
        <f t="shared" si="0"/>
        <v>16082.484700358636</v>
      </c>
      <c r="J32" s="257" t="s">
        <v>86</v>
      </c>
      <c r="K32" s="45">
        <f t="shared" si="1"/>
        <v>0</v>
      </c>
      <c r="L32" s="73"/>
    </row>
    <row r="33" spans="2:12" s="257" customFormat="1" ht="13">
      <c r="B33" s="37" t="s">
        <v>96</v>
      </c>
      <c r="C33" s="67"/>
      <c r="D33" s="257" t="s">
        <v>86</v>
      </c>
      <c r="E33" s="74" t="s">
        <v>97</v>
      </c>
      <c r="F33" s="271"/>
      <c r="G33" s="38">
        <f>'Cost Schedule'!C67</f>
        <v>134.34486750896593</v>
      </c>
      <c r="H33" s="72"/>
      <c r="I33" s="39">
        <f t="shared" si="0"/>
        <v>134.34486750896593</v>
      </c>
      <c r="J33" s="257" t="s">
        <v>86</v>
      </c>
      <c r="K33" s="45">
        <f t="shared" si="1"/>
        <v>0</v>
      </c>
      <c r="L33" s="73"/>
    </row>
    <row r="34" spans="2:12" s="257" customFormat="1" ht="13">
      <c r="B34" s="37" t="s">
        <v>98</v>
      </c>
      <c r="C34" s="67"/>
      <c r="D34" s="257" t="s">
        <v>99</v>
      </c>
      <c r="E34" s="74" t="s">
        <v>100</v>
      </c>
      <c r="F34" s="271"/>
      <c r="G34" s="47">
        <f>_xlfn.XLOOKUP(E34, Copper_cables_haul_unload_names_UR,Copper_cables_haul_unload_rates_UR)</f>
        <v>0.16306423611111109</v>
      </c>
      <c r="H34" s="72"/>
      <c r="I34" s="48">
        <f t="shared" si="0"/>
        <v>0.16306423611111109</v>
      </c>
      <c r="J34" s="257" t="s">
        <v>99</v>
      </c>
      <c r="K34" s="49">
        <f>I34*C34</f>
        <v>0</v>
      </c>
      <c r="L34" s="73"/>
    </row>
    <row r="35" spans="2:12" s="257" customFormat="1" ht="13">
      <c r="B35" s="37" t="s">
        <v>101</v>
      </c>
      <c r="C35" s="67"/>
      <c r="D35" s="257" t="s">
        <v>102</v>
      </c>
      <c r="E35" s="74" t="s">
        <v>103</v>
      </c>
      <c r="F35" s="271"/>
      <c r="G35" s="47">
        <f>_xlfn.XLOOKUP(E35, Cable_drums_haul_unload_names_UR,Cable_drums_haul_unload_rates_UR)</f>
        <v>1.3847916666666662</v>
      </c>
      <c r="H35" s="72"/>
      <c r="I35" s="48">
        <f t="shared" si="0"/>
        <v>1.3847916666666662</v>
      </c>
      <c r="J35" s="257" t="s">
        <v>102</v>
      </c>
      <c r="K35" s="49">
        <f>I35*C35</f>
        <v>0</v>
      </c>
      <c r="L35" s="73"/>
    </row>
    <row r="36" spans="2:12" s="257" customFormat="1" ht="13">
      <c r="B36" s="37" t="s">
        <v>104</v>
      </c>
      <c r="C36" s="67"/>
      <c r="D36" s="257" t="s">
        <v>102</v>
      </c>
      <c r="E36" s="74" t="s">
        <v>103</v>
      </c>
      <c r="F36" s="271"/>
      <c r="G36" s="47">
        <f>_xlfn.XLOOKUP(E36, Cable_drums_haul_unload_names_UR,Cable_drums_haul_unload_rates_UR)</f>
        <v>1.3847916666666662</v>
      </c>
      <c r="H36" s="72"/>
      <c r="I36" s="48">
        <f t="shared" si="0"/>
        <v>1.3847916666666662</v>
      </c>
      <c r="J36" s="257" t="s">
        <v>102</v>
      </c>
      <c r="K36" s="49">
        <f>I36*C36</f>
        <v>0</v>
      </c>
      <c r="L36" s="73"/>
    </row>
    <row r="37" spans="2:12" s="257" customFormat="1" ht="13">
      <c r="B37" s="37" t="s">
        <v>105</v>
      </c>
      <c r="C37" s="67"/>
      <c r="D37" s="257" t="s">
        <v>102</v>
      </c>
      <c r="E37" s="74" t="s">
        <v>103</v>
      </c>
      <c r="F37" s="271"/>
      <c r="G37" s="47">
        <f>_xlfn.XLOOKUP(E37, Cable_drums_haul_unload_names_UR,Cable_drums_haul_unload_rates_UR)</f>
        <v>1.3847916666666662</v>
      </c>
      <c r="H37" s="72"/>
      <c r="I37" s="48">
        <f t="shared" si="0"/>
        <v>1.3847916666666662</v>
      </c>
      <c r="J37" s="257" t="s">
        <v>102</v>
      </c>
      <c r="K37" s="45">
        <f>I37*C37</f>
        <v>0</v>
      </c>
      <c r="L37" s="73"/>
    </row>
    <row r="38" spans="2:12" s="257" customFormat="1">
      <c r="C38" s="329"/>
      <c r="I38" s="273"/>
      <c r="L38" s="70"/>
    </row>
    <row r="39" spans="2:12" s="257" customFormat="1" ht="13">
      <c r="B39" s="220" t="str">
        <f>B$24</f>
        <v>Totals</v>
      </c>
      <c r="C39" s="313">
        <f>SUM(C27:C33)</f>
        <v>0</v>
      </c>
      <c r="D39" s="257" t="s">
        <v>86</v>
      </c>
      <c r="H39" s="275" t="s">
        <v>106</v>
      </c>
      <c r="I39" s="50">
        <f>IF(C39=0,0,K39/C39)</f>
        <v>0</v>
      </c>
      <c r="J39" s="276" t="s">
        <v>343</v>
      </c>
      <c r="K39" s="103">
        <f>SUM(K27:K38)</f>
        <v>0</v>
      </c>
      <c r="L39" s="73"/>
    </row>
    <row r="40" spans="2:12" s="257" customFormat="1">
      <c r="L40" s="70"/>
    </row>
    <row r="41" spans="2:12" ht="13">
      <c r="B41" s="217" t="s">
        <v>108</v>
      </c>
      <c r="C41" s="217"/>
      <c r="D41" s="217"/>
      <c r="E41" s="217"/>
      <c r="F41" s="217"/>
      <c r="G41" s="217"/>
      <c r="H41" s="217"/>
      <c r="I41" s="217"/>
      <c r="J41" s="217"/>
      <c r="K41" s="217"/>
      <c r="L41" s="217"/>
    </row>
    <row r="42" spans="2:12" s="257" customFormat="1" ht="22.5" customHeight="1">
      <c r="B42" s="267" t="s">
        <v>71</v>
      </c>
      <c r="C42" s="268" t="s">
        <v>72</v>
      </c>
      <c r="D42" s="268" t="s">
        <v>51</v>
      </c>
      <c r="E42" s="271"/>
      <c r="F42" s="271"/>
      <c r="G42" s="270" t="s">
        <v>50</v>
      </c>
      <c r="H42" s="270" t="s">
        <v>73</v>
      </c>
      <c r="I42" s="270" t="s">
        <v>74</v>
      </c>
      <c r="J42" s="270" t="s">
        <v>75</v>
      </c>
      <c r="K42" s="270" t="s">
        <v>76</v>
      </c>
      <c r="L42" s="70"/>
    </row>
    <row r="43" spans="2:12" s="257" customFormat="1" ht="13">
      <c r="B43" s="37" t="s">
        <v>109</v>
      </c>
      <c r="C43" s="67"/>
      <c r="D43" s="238" t="s">
        <v>86</v>
      </c>
      <c r="G43" s="52">
        <f>Remove_powerline_rate</f>
        <v>18576.11892137249</v>
      </c>
      <c r="H43" s="72"/>
      <c r="I43" s="39">
        <f>IF(H43="",G43,H43)</f>
        <v>18576.11892137249</v>
      </c>
      <c r="J43" s="238" t="s">
        <v>86</v>
      </c>
      <c r="K43" s="45">
        <f>I43*C43</f>
        <v>0</v>
      </c>
      <c r="L43" s="73"/>
    </row>
    <row r="44" spans="2:12" s="257" customFormat="1">
      <c r="C44" s="329"/>
      <c r="L44" s="70"/>
    </row>
    <row r="45" spans="2:12" s="257" customFormat="1" ht="13">
      <c r="B45" s="220" t="str">
        <f>B$24</f>
        <v>Totals</v>
      </c>
      <c r="C45" s="104">
        <f>SUM(C42:C44)</f>
        <v>0</v>
      </c>
      <c r="D45" s="238" t="s">
        <v>86</v>
      </c>
      <c r="G45" s="214"/>
      <c r="H45" s="265" t="s">
        <v>110</v>
      </c>
      <c r="I45" s="39">
        <f>IF(C45=0,0,K45/C45)</f>
        <v>0</v>
      </c>
      <c r="J45" s="266" t="s">
        <v>107</v>
      </c>
      <c r="K45" s="43">
        <f>SUM(K42:K44)</f>
        <v>0</v>
      </c>
      <c r="L45" s="73"/>
    </row>
    <row r="46" spans="2:12" s="257" customFormat="1">
      <c r="L46" s="70"/>
    </row>
    <row r="47" spans="2:12" ht="13">
      <c r="B47" s="217" t="s">
        <v>117</v>
      </c>
      <c r="C47" s="217"/>
      <c r="D47" s="217"/>
      <c r="E47" s="217"/>
      <c r="F47" s="217"/>
      <c r="G47" s="217"/>
      <c r="H47" s="217"/>
      <c r="I47" s="217"/>
      <c r="J47" s="217"/>
      <c r="K47" s="217"/>
      <c r="L47" s="217"/>
    </row>
    <row r="48" spans="2:12" ht="13">
      <c r="B48" s="261" t="s">
        <v>71</v>
      </c>
      <c r="C48" s="262" t="s">
        <v>72</v>
      </c>
      <c r="D48" s="262" t="s">
        <v>51</v>
      </c>
      <c r="E48" s="264" t="s">
        <v>83</v>
      </c>
      <c r="F48" s="264"/>
      <c r="G48" s="263" t="s">
        <v>50</v>
      </c>
      <c r="H48" s="263" t="s">
        <v>73</v>
      </c>
      <c r="I48" s="263" t="s">
        <v>74</v>
      </c>
      <c r="J48" s="263" t="s">
        <v>75</v>
      </c>
      <c r="K48" s="263" t="s">
        <v>76</v>
      </c>
      <c r="L48" s="70"/>
    </row>
    <row r="49" spans="2:12" ht="13">
      <c r="B49" s="37" t="s">
        <v>118</v>
      </c>
      <c r="C49" s="69"/>
      <c r="D49" s="238" t="s">
        <v>121</v>
      </c>
      <c r="E49" s="74" t="s">
        <v>120</v>
      </c>
      <c r="F49" s="264"/>
      <c r="G49" s="52">
        <f>_xlfn.XLOOKUP(E49,Substation_sizes_UR,Substation_rates_UR)</f>
        <v>127299.02471965126</v>
      </c>
      <c r="H49" s="72"/>
      <c r="I49" s="39">
        <f>IF(H49="",G49,H49)</f>
        <v>127299.02471965126</v>
      </c>
      <c r="J49" s="238" t="s">
        <v>121</v>
      </c>
      <c r="K49" s="45">
        <f>I49*C49</f>
        <v>0</v>
      </c>
      <c r="L49" s="73"/>
    </row>
    <row r="50" spans="2:12" ht="13">
      <c r="B50" s="37" t="s">
        <v>122</v>
      </c>
      <c r="C50" s="69"/>
      <c r="D50" s="238" t="s">
        <v>121</v>
      </c>
      <c r="E50" s="74" t="s">
        <v>123</v>
      </c>
      <c r="F50" s="264"/>
      <c r="G50" s="52">
        <f>_xlfn.XLOOKUP(E50,Substation_sizes_UR,Substation_rates_UR)</f>
        <v>260457.16548370387</v>
      </c>
      <c r="H50" s="72"/>
      <c r="I50" s="39">
        <f>IF(H50="",G50,H50)</f>
        <v>260457.16548370387</v>
      </c>
      <c r="J50" s="238" t="s">
        <v>121</v>
      </c>
      <c r="K50" s="45">
        <f>I50*C50</f>
        <v>0</v>
      </c>
      <c r="L50" s="70"/>
    </row>
    <row r="51" spans="2:12" ht="13">
      <c r="B51" s="37" t="s">
        <v>124</v>
      </c>
      <c r="C51" s="69"/>
      <c r="D51" s="238" t="s">
        <v>121</v>
      </c>
      <c r="E51" s="74" t="s">
        <v>125</v>
      </c>
      <c r="F51" s="264"/>
      <c r="G51" s="52">
        <f>_xlfn.XLOOKUP(E51,Substation_sizes_UR,Substation_rates_UR)</f>
        <v>431302.77125752135</v>
      </c>
      <c r="H51" s="72"/>
      <c r="I51" s="39">
        <f>IF(H51="",G51,H51)</f>
        <v>431302.77125752135</v>
      </c>
      <c r="J51" s="238" t="s">
        <v>121</v>
      </c>
      <c r="K51" s="45">
        <f>I51*C51</f>
        <v>0</v>
      </c>
      <c r="L51" s="73"/>
    </row>
    <row r="52" spans="2:12" ht="13">
      <c r="B52" s="37" t="s">
        <v>126</v>
      </c>
      <c r="C52" s="69"/>
      <c r="D52" s="238" t="s">
        <v>121</v>
      </c>
      <c r="E52" s="74" t="s">
        <v>123</v>
      </c>
      <c r="F52" s="264"/>
      <c r="G52" s="52">
        <f>_xlfn.XLOOKUP(E52,Substation_sizes_UR,Substation_rates_UR)</f>
        <v>260457.16548370387</v>
      </c>
      <c r="H52" s="72"/>
      <c r="I52" s="39">
        <f>IF(H52="",G52,H52)</f>
        <v>260457.16548370387</v>
      </c>
      <c r="J52" s="238" t="s">
        <v>121</v>
      </c>
      <c r="K52" s="45">
        <f>I52*C52</f>
        <v>0</v>
      </c>
      <c r="L52" s="70"/>
    </row>
    <row r="53" spans="2:12" ht="13">
      <c r="B53" s="37" t="s">
        <v>127</v>
      </c>
      <c r="C53" s="69"/>
      <c r="D53" s="238" t="s">
        <v>121</v>
      </c>
      <c r="E53" s="74" t="s">
        <v>123</v>
      </c>
      <c r="F53" s="264"/>
      <c r="G53" s="52">
        <f>_xlfn.XLOOKUP(E53,Substation_sizes_UR,Substation_rates_UR)</f>
        <v>260457.16548370387</v>
      </c>
      <c r="H53" s="72"/>
      <c r="I53" s="39">
        <f>IF(H53="",G53,H53)</f>
        <v>260457.16548370387</v>
      </c>
      <c r="J53" s="238" t="s">
        <v>121</v>
      </c>
      <c r="K53" s="45">
        <f>I53*C53</f>
        <v>0</v>
      </c>
      <c r="L53" s="73"/>
    </row>
    <row r="54" spans="2:12" ht="13">
      <c r="B54" s="260"/>
      <c r="C54" s="330"/>
      <c r="D54" s="260"/>
      <c r="F54" s="264"/>
      <c r="G54" s="260"/>
      <c r="H54" s="260"/>
      <c r="I54" s="277"/>
      <c r="J54" s="260"/>
      <c r="K54" s="260"/>
      <c r="L54" s="70"/>
    </row>
    <row r="55" spans="2:12" s="214" customFormat="1" ht="13">
      <c r="B55" s="220" t="str">
        <f>B$24</f>
        <v>Totals</v>
      </c>
      <c r="C55" s="101">
        <f>SUM(C48:C54)</f>
        <v>0</v>
      </c>
      <c r="D55" s="238" t="s">
        <v>119</v>
      </c>
      <c r="H55" s="265" t="s">
        <v>128</v>
      </c>
      <c r="I55" s="39">
        <f>IF(C55=0,0,K55/C55)</f>
        <v>0</v>
      </c>
      <c r="J55" s="266" t="s">
        <v>129</v>
      </c>
      <c r="K55" s="102">
        <f>SUM(K48:K54)</f>
        <v>0</v>
      </c>
      <c r="L55" s="73"/>
    </row>
    <row r="56" spans="2:12" ht="13">
      <c r="B56" s="260"/>
      <c r="C56" s="331"/>
      <c r="D56" s="260"/>
      <c r="G56" s="260"/>
      <c r="H56" s="260"/>
      <c r="I56" s="260"/>
      <c r="J56" s="260"/>
      <c r="K56" s="260"/>
      <c r="L56" s="70"/>
    </row>
    <row r="57" spans="2:12" ht="13">
      <c r="B57" s="217" t="s">
        <v>440</v>
      </c>
      <c r="C57" s="217"/>
      <c r="D57" s="217"/>
      <c r="E57" s="217"/>
      <c r="F57" s="217"/>
      <c r="G57" s="217"/>
      <c r="H57" s="217"/>
      <c r="I57" s="217"/>
      <c r="J57" s="217"/>
      <c r="K57" s="217"/>
      <c r="L57" s="217"/>
    </row>
    <row r="58" spans="2:12" ht="13">
      <c r="B58" s="261" t="s">
        <v>71</v>
      </c>
      <c r="C58" s="262" t="s">
        <v>72</v>
      </c>
      <c r="D58" s="262" t="s">
        <v>51</v>
      </c>
      <c r="G58" s="263" t="s">
        <v>50</v>
      </c>
      <c r="H58" s="263" t="s">
        <v>73</v>
      </c>
      <c r="I58" s="263" t="s">
        <v>74</v>
      </c>
      <c r="J58" s="263" t="s">
        <v>75</v>
      </c>
      <c r="K58" s="263" t="s">
        <v>76</v>
      </c>
      <c r="L58" s="70"/>
    </row>
    <row r="59" spans="2:12" ht="13">
      <c r="B59" s="37" t="s">
        <v>131</v>
      </c>
      <c r="C59" s="69"/>
      <c r="D59" s="238" t="s">
        <v>132</v>
      </c>
      <c r="E59" s="264"/>
      <c r="F59" s="264"/>
      <c r="G59" s="38">
        <f>'Cost Schedule'!C26</f>
        <v>3571.3568272918019</v>
      </c>
      <c r="H59" s="72"/>
      <c r="I59" s="39">
        <f>IF(H59="",G59,H59)</f>
        <v>3571.3568272918019</v>
      </c>
      <c r="J59" s="238" t="s">
        <v>132</v>
      </c>
      <c r="K59" s="45">
        <f>I59*C59</f>
        <v>0</v>
      </c>
      <c r="L59" s="70"/>
    </row>
    <row r="60" spans="2:12" ht="13">
      <c r="B60" s="37" t="s">
        <v>441</v>
      </c>
      <c r="C60" s="69"/>
      <c r="D60" s="238" t="s">
        <v>132</v>
      </c>
      <c r="E60" s="264"/>
      <c r="F60" s="264"/>
      <c r="G60" s="38">
        <f>'Cost Schedule'!C27</f>
        <v>4303.3068272918026</v>
      </c>
      <c r="H60" s="72"/>
      <c r="I60" s="39">
        <f>IF(H60="",G60,H60)</f>
        <v>4303.3068272918026</v>
      </c>
      <c r="J60" s="238" t="s">
        <v>132</v>
      </c>
      <c r="K60" s="45">
        <f>I60*C60</f>
        <v>0</v>
      </c>
      <c r="L60" s="73"/>
    </row>
    <row r="61" spans="2:12" s="214" customFormat="1">
      <c r="C61" s="328"/>
      <c r="I61" s="332"/>
      <c r="L61" s="70"/>
    </row>
    <row r="62" spans="2:12" s="214" customFormat="1" ht="13">
      <c r="B62" s="220" t="str">
        <f>B$24</f>
        <v>Totals</v>
      </c>
      <c r="C62" s="333">
        <f>SUM(C58:C61)</f>
        <v>0</v>
      </c>
      <c r="D62" s="238" t="s">
        <v>134</v>
      </c>
      <c r="H62" s="265" t="s">
        <v>442</v>
      </c>
      <c r="I62" s="39">
        <f>IF(C62=0,0,K62/C62)</f>
        <v>0</v>
      </c>
      <c r="J62" s="266" t="s">
        <v>136</v>
      </c>
      <c r="K62" s="102">
        <f>SUM(K58:K61)</f>
        <v>0</v>
      </c>
      <c r="L62" s="73"/>
    </row>
    <row r="63" spans="2:12">
      <c r="C63" s="284"/>
      <c r="L63" s="70"/>
    </row>
    <row r="64" spans="2:12" ht="13">
      <c r="B64" s="217" t="s">
        <v>443</v>
      </c>
      <c r="C64" s="217"/>
      <c r="D64" s="217"/>
      <c r="E64" s="217"/>
      <c r="F64" s="217"/>
      <c r="G64" s="217"/>
      <c r="H64" s="217"/>
      <c r="I64" s="217"/>
      <c r="J64" s="217"/>
      <c r="K64" s="217"/>
      <c r="L64" s="217"/>
    </row>
    <row r="65" spans="2:12" ht="13">
      <c r="B65" s="261" t="s">
        <v>71</v>
      </c>
      <c r="C65" s="262" t="s">
        <v>72</v>
      </c>
      <c r="D65" s="262" t="s">
        <v>51</v>
      </c>
      <c r="E65" s="264" t="s">
        <v>83</v>
      </c>
      <c r="F65" s="264"/>
      <c r="G65" s="263" t="s">
        <v>50</v>
      </c>
      <c r="H65" s="263" t="s">
        <v>73</v>
      </c>
      <c r="I65" s="263" t="s">
        <v>74</v>
      </c>
      <c r="J65" s="263" t="s">
        <v>75</v>
      </c>
      <c r="K65" s="263" t="s">
        <v>76</v>
      </c>
      <c r="L65" s="70"/>
    </row>
    <row r="66" spans="2:12" ht="13">
      <c r="B66" s="105" t="str">
        <f>'Cost Schedule'!B21</f>
        <v>Remove and dispose of liquids</v>
      </c>
      <c r="C66" s="67"/>
      <c r="D66" s="238" t="s">
        <v>1091</v>
      </c>
      <c r="E66" s="334"/>
      <c r="G66" s="47">
        <f>'Cost Schedule'!C21</f>
        <v>257.65393119534104</v>
      </c>
      <c r="H66" s="72"/>
      <c r="I66" s="48">
        <f t="shared" ref="I66:I70" si="2">IF(H66="",G66,H66)</f>
        <v>257.65393119534104</v>
      </c>
      <c r="J66" s="238" t="s">
        <v>445</v>
      </c>
      <c r="K66" s="45">
        <f t="shared" ref="K66:K70" si="3">C66*I66</f>
        <v>0</v>
      </c>
      <c r="L66" s="73"/>
    </row>
    <row r="67" spans="2:12" ht="13">
      <c r="B67" s="105" t="s">
        <v>444</v>
      </c>
      <c r="C67" s="279">
        <f>C$15</f>
        <v>0</v>
      </c>
      <c r="D67" s="238" t="s">
        <v>445</v>
      </c>
      <c r="E67" s="334" t="str">
        <f>C$14</f>
        <v>Select make and model</v>
      </c>
      <c r="G67" s="47">
        <f>'Cost Schedule'!C22</f>
        <v>4385.1794700358641</v>
      </c>
      <c r="H67" s="72"/>
      <c r="I67" s="48">
        <f t="shared" si="2"/>
        <v>4385.1794700358641</v>
      </c>
      <c r="J67" s="238" t="s">
        <v>445</v>
      </c>
      <c r="K67" s="45">
        <f t="shared" si="3"/>
        <v>0</v>
      </c>
      <c r="L67" s="73"/>
    </row>
    <row r="68" spans="2:12" ht="13">
      <c r="B68" s="105" t="s">
        <v>446</v>
      </c>
      <c r="C68" s="333">
        <f>_xlfn.XLOOKUP(E68,Long_haul_names_modules_UR,Load_haul_dump_modules_distance_avg)*C$15</f>
        <v>0</v>
      </c>
      <c r="D68" s="238" t="s">
        <v>447</v>
      </c>
      <c r="E68" s="76" t="s">
        <v>448</v>
      </c>
      <c r="G68" s="47">
        <f>_xlfn.XLOOKUP(E68,Long_haul_names_modules_UR,Long_haul_rates_modules_UR)</f>
        <v>217.63783160322956</v>
      </c>
      <c r="H68" s="72"/>
      <c r="I68" s="48">
        <f t="shared" si="2"/>
        <v>217.63783160322956</v>
      </c>
      <c r="J68" s="238" t="s">
        <v>447</v>
      </c>
      <c r="K68" s="45">
        <f>C68*I68</f>
        <v>0</v>
      </c>
      <c r="L68" s="70"/>
    </row>
    <row r="69" spans="2:12" ht="13">
      <c r="B69" s="105" t="s">
        <v>449</v>
      </c>
      <c r="C69" s="333">
        <f>C$67</f>
        <v>0</v>
      </c>
      <c r="D69" s="238" t="s">
        <v>445</v>
      </c>
      <c r="G69" s="47">
        <f>'Cost Schedule'!C24</f>
        <v>433.9267589388698</v>
      </c>
      <c r="H69" s="72"/>
      <c r="I69" s="48">
        <f t="shared" si="2"/>
        <v>433.9267589388698</v>
      </c>
      <c r="J69" s="238" t="s">
        <v>445</v>
      </c>
      <c r="K69" s="45">
        <f t="shared" si="3"/>
        <v>0</v>
      </c>
      <c r="L69" s="73"/>
    </row>
    <row r="70" spans="2:12" ht="13">
      <c r="B70" s="105" t="s">
        <v>450</v>
      </c>
      <c r="C70" s="333">
        <f>C$67</f>
        <v>0</v>
      </c>
      <c r="D70" s="238" t="s">
        <v>445</v>
      </c>
      <c r="G70" s="38">
        <f>'Cost Schedule'!C25</f>
        <v>2359.0193357933576</v>
      </c>
      <c r="H70" s="72"/>
      <c r="I70" s="39">
        <f t="shared" si="2"/>
        <v>2359.0193357933576</v>
      </c>
      <c r="J70" s="238" t="s">
        <v>445</v>
      </c>
      <c r="K70" s="45">
        <f t="shared" si="3"/>
        <v>0</v>
      </c>
      <c r="L70" s="70"/>
    </row>
    <row r="71" spans="2:12">
      <c r="C71" s="335"/>
      <c r="K71" s="282"/>
      <c r="L71" s="73"/>
    </row>
    <row r="72" spans="2:12" ht="13">
      <c r="B72" s="220" t="str">
        <f>B$24</f>
        <v>Totals</v>
      </c>
      <c r="C72" s="333">
        <f>C$67</f>
        <v>0</v>
      </c>
      <c r="D72" s="238" t="s">
        <v>438</v>
      </c>
      <c r="H72" s="265" t="s">
        <v>451</v>
      </c>
      <c r="I72" s="39">
        <f>IF(C72=0,0,K72/C72)</f>
        <v>0</v>
      </c>
      <c r="J72" s="266" t="s">
        <v>452</v>
      </c>
      <c r="K72" s="102">
        <f>SUM(K65:K71)</f>
        <v>0</v>
      </c>
      <c r="L72" s="70"/>
    </row>
    <row r="73" spans="2:12">
      <c r="L73" s="73"/>
    </row>
    <row r="74" spans="2:12" ht="13">
      <c r="B74" s="217" t="s">
        <v>1093</v>
      </c>
      <c r="C74" s="217"/>
      <c r="D74" s="217"/>
      <c r="E74" s="217"/>
      <c r="F74" s="217"/>
      <c r="G74" s="217"/>
      <c r="H74" s="217"/>
      <c r="I74" s="217"/>
      <c r="J74" s="217"/>
      <c r="K74" s="217"/>
      <c r="L74" s="217"/>
    </row>
    <row r="75" spans="2:12" s="214" customFormat="1" ht="13">
      <c r="B75" s="261" t="s">
        <v>71</v>
      </c>
      <c r="C75" s="262" t="s">
        <v>72</v>
      </c>
      <c r="D75" s="262" t="s">
        <v>51</v>
      </c>
      <c r="E75" s="264" t="s">
        <v>83</v>
      </c>
      <c r="F75" s="264"/>
      <c r="G75" s="263" t="s">
        <v>50</v>
      </c>
      <c r="H75" s="263" t="s">
        <v>73</v>
      </c>
      <c r="I75" s="263" t="s">
        <v>74</v>
      </c>
      <c r="J75" s="263" t="s">
        <v>75</v>
      </c>
      <c r="K75" s="263" t="s">
        <v>76</v>
      </c>
      <c r="L75" s="70"/>
    </row>
    <row r="76" spans="2:12" s="257" customFormat="1" ht="13">
      <c r="B76" s="37" t="s">
        <v>1100</v>
      </c>
      <c r="C76" s="67"/>
      <c r="D76" s="257" t="s">
        <v>1095</v>
      </c>
      <c r="G76" s="47">
        <f>'Cost Schedule'!C23</f>
        <v>87.48</v>
      </c>
      <c r="H76" s="72"/>
      <c r="I76" s="48">
        <f t="shared" ref="I76" si="4">IF(H76="",G76,H76)</f>
        <v>87.48</v>
      </c>
      <c r="J76" s="257" t="s">
        <v>203</v>
      </c>
      <c r="K76" s="45">
        <f t="shared" ref="K76" si="5">C76*I76</f>
        <v>0</v>
      </c>
      <c r="L76" s="73"/>
    </row>
    <row r="77" spans="2:12" s="257" customFormat="1">
      <c r="B77" s="37" t="s">
        <v>402</v>
      </c>
      <c r="C77" s="67"/>
      <c r="D77" s="257" t="s">
        <v>803</v>
      </c>
      <c r="L77" s="73"/>
    </row>
    <row r="78" spans="2:12" s="257" customFormat="1">
      <c r="B78" s="37"/>
      <c r="C78" s="65">
        <f>C77/Millimetres_in_metres</f>
        <v>0</v>
      </c>
      <c r="D78" s="257" t="s">
        <v>227</v>
      </c>
      <c r="L78" s="73"/>
    </row>
    <row r="79" spans="2:12" s="257" customFormat="1">
      <c r="B79" s="37" t="s">
        <v>1094</v>
      </c>
      <c r="C79" s="299">
        <f>C76*C77</f>
        <v>0</v>
      </c>
      <c r="D79" s="257" t="s">
        <v>231</v>
      </c>
      <c r="L79" s="73"/>
    </row>
    <row r="80" spans="2:12" s="257" customFormat="1">
      <c r="B80" s="37" t="s">
        <v>1096</v>
      </c>
      <c r="C80" s="299">
        <f>C79*Concrete_density</f>
        <v>0</v>
      </c>
      <c r="D80" s="257" t="s">
        <v>1097</v>
      </c>
      <c r="L80" s="73"/>
    </row>
    <row r="81" spans="2:12" s="257" customFormat="1">
      <c r="B81" s="14" t="s">
        <v>256</v>
      </c>
      <c r="C81" s="65">
        <f>_xlfn.XLOOKUP(E82,Long_haul_names_concrete_UR,Load_haul_dump_rubble_distance_avg)</f>
        <v>42.5</v>
      </c>
      <c r="D81" s="257" t="s">
        <v>86</v>
      </c>
      <c r="L81" s="82"/>
    </row>
    <row r="82" spans="2:12" s="257" customFormat="1" ht="13">
      <c r="B82" s="56" t="s">
        <v>257</v>
      </c>
      <c r="C82" s="299">
        <f>C81*C80</f>
        <v>0</v>
      </c>
      <c r="D82" s="257" t="s">
        <v>99</v>
      </c>
      <c r="E82" s="77" t="s">
        <v>405</v>
      </c>
      <c r="G82" s="47">
        <f>_xlfn.XLOOKUP(E82,Long_haul_names_concrete_UR,Long_haul_rates_concrete_UR)</f>
        <v>2.6425964252116652</v>
      </c>
      <c r="H82" s="72"/>
      <c r="I82" s="48">
        <f>IF(H82="",G82,H82)</f>
        <v>2.6425964252116652</v>
      </c>
      <c r="J82" s="257" t="s">
        <v>99</v>
      </c>
      <c r="K82" s="45">
        <f>I82*C82</f>
        <v>0</v>
      </c>
      <c r="L82" s="82"/>
    </row>
    <row r="83" spans="2:12" s="257" customFormat="1" ht="13">
      <c r="B83" s="56" t="s">
        <v>259</v>
      </c>
      <c r="C83" s="299">
        <f>C80</f>
        <v>0</v>
      </c>
      <c r="D83" s="257" t="s">
        <v>243</v>
      </c>
      <c r="E83" s="80" t="str">
        <f>Disposal_gate_fee_Construction_Debris</f>
        <v>Disposal (gate fee) construction debris</v>
      </c>
      <c r="G83" s="47">
        <f>Disposal_gate_fee_concrete_rubble_rate</f>
        <v>70</v>
      </c>
      <c r="H83" s="72"/>
      <c r="I83" s="48">
        <f>IF(H83="",G83,H83)</f>
        <v>70</v>
      </c>
      <c r="J83" s="257" t="s">
        <v>243</v>
      </c>
      <c r="K83" s="45">
        <f>I83*C83</f>
        <v>0</v>
      </c>
      <c r="L83" s="82"/>
    </row>
    <row r="84" spans="2:12" s="257" customFormat="1" ht="13">
      <c r="B84" s="56" t="s">
        <v>261</v>
      </c>
      <c r="C84" s="299">
        <f>C80</f>
        <v>0</v>
      </c>
      <c r="D84" s="257" t="s">
        <v>243</v>
      </c>
      <c r="E84" s="77" t="s">
        <v>262</v>
      </c>
      <c r="G84" s="47">
        <f>_xlfn.XLOOKUP(E84,Waste_levy_names,Waste_levy_rates)</f>
        <v>83</v>
      </c>
      <c r="H84" s="72"/>
      <c r="I84" s="48">
        <f>IF(H84="",G84,H84)</f>
        <v>83</v>
      </c>
      <c r="J84" s="257" t="s">
        <v>243</v>
      </c>
      <c r="K84" s="45">
        <f>I84*C84</f>
        <v>0</v>
      </c>
      <c r="L84" s="82"/>
    </row>
    <row r="85" spans="2:12" s="257" customFormat="1">
      <c r="C85" s="329"/>
      <c r="K85" s="238"/>
      <c r="L85" s="82"/>
    </row>
    <row r="86" spans="2:12" s="257" customFormat="1" ht="13">
      <c r="B86" s="302" t="str">
        <f>B$24</f>
        <v>Totals</v>
      </c>
      <c r="C86" s="313">
        <f>C76</f>
        <v>0</v>
      </c>
      <c r="D86" s="257" t="s">
        <v>203</v>
      </c>
      <c r="H86" s="275" t="s">
        <v>406</v>
      </c>
      <c r="I86" s="50">
        <f>IF(C86=0,0,K86/C86)</f>
        <v>0</v>
      </c>
      <c r="J86" s="276" t="s">
        <v>410</v>
      </c>
      <c r="K86" s="43">
        <f>SUM(K75:K85)</f>
        <v>0</v>
      </c>
      <c r="L86" s="82"/>
    </row>
    <row r="87" spans="2:12" s="257" customFormat="1">
      <c r="L87" s="82"/>
    </row>
    <row r="88" spans="2:12" ht="13">
      <c r="B88" s="217" t="s">
        <v>143</v>
      </c>
      <c r="C88" s="217"/>
      <c r="D88" s="217"/>
      <c r="E88" s="217"/>
      <c r="F88" s="217"/>
      <c r="G88" s="217"/>
      <c r="H88" s="217"/>
      <c r="I88" s="217"/>
      <c r="J88" s="217"/>
      <c r="K88" s="217"/>
      <c r="L88" s="217"/>
    </row>
    <row r="89" spans="2:12" ht="13">
      <c r="B89" s="261" t="s">
        <v>71</v>
      </c>
      <c r="C89" s="262" t="s">
        <v>72</v>
      </c>
      <c r="D89" s="262" t="s">
        <v>51</v>
      </c>
      <c r="E89" s="264" t="s">
        <v>83</v>
      </c>
      <c r="F89" s="264"/>
      <c r="G89" s="263" t="s">
        <v>50</v>
      </c>
      <c r="H89" s="263" t="s">
        <v>73</v>
      </c>
      <c r="I89" s="263" t="s">
        <v>74</v>
      </c>
      <c r="J89" s="263" t="s">
        <v>75</v>
      </c>
      <c r="K89" s="263" t="s">
        <v>76</v>
      </c>
      <c r="L89" s="70"/>
    </row>
    <row r="90" spans="2:12" ht="13">
      <c r="B90" s="37" t="s">
        <v>144</v>
      </c>
      <c r="C90" s="67"/>
      <c r="D90" s="238" t="s">
        <v>62</v>
      </c>
      <c r="E90" s="74" t="s">
        <v>145</v>
      </c>
      <c r="F90" s="8" t="s">
        <v>146</v>
      </c>
      <c r="G90" s="38" cm="1">
        <f t="array" ref="G90">_xlfn.XLOOKUP(1,('Cost Schedule'!$B$391:$B$408=BESS!E90)*('Cost Schedule'!$A$391:$A$408=BESS!F90),'Cost Schedule'!$C$391:$C$408)</f>
        <v>972.51262045565204</v>
      </c>
      <c r="H90" s="72"/>
      <c r="I90" s="39">
        <f t="shared" ref="I90:I107" si="6">IF(H90="",G90,H90)</f>
        <v>972.51262045565204</v>
      </c>
      <c r="J90" s="238" t="s">
        <v>62</v>
      </c>
      <c r="K90" s="45">
        <f t="shared" ref="K90:K107" si="7">I90*C90</f>
        <v>0</v>
      </c>
      <c r="L90" s="73"/>
    </row>
    <row r="91" spans="2:12" s="214" customFormat="1" ht="13">
      <c r="B91" s="37" t="s">
        <v>147</v>
      </c>
      <c r="C91" s="67"/>
      <c r="D91" s="238" t="s">
        <v>62</v>
      </c>
      <c r="E91" s="74" t="s">
        <v>145</v>
      </c>
      <c r="F91" s="8" t="s">
        <v>148</v>
      </c>
      <c r="G91" s="38" cm="1">
        <f t="array" ref="G91">_xlfn.XLOOKUP(1,('Cost Schedule'!$B$391:$B$408=BESS!E91)*('Cost Schedule'!$A$391:$A$408=BESS!F91),'Cost Schedule'!$C$391:$C$408)</f>
        <v>1329.512620455652</v>
      </c>
      <c r="H91" s="72"/>
      <c r="I91" s="39">
        <f t="shared" si="6"/>
        <v>1329.512620455652</v>
      </c>
      <c r="J91" s="238" t="s">
        <v>62</v>
      </c>
      <c r="K91" s="45">
        <f t="shared" si="7"/>
        <v>0</v>
      </c>
      <c r="L91" s="73"/>
    </row>
    <row r="92" spans="2:12" s="214" customFormat="1" ht="13">
      <c r="B92" s="37" t="s">
        <v>149</v>
      </c>
      <c r="C92" s="67"/>
      <c r="D92" s="238" t="s">
        <v>62</v>
      </c>
      <c r="E92" s="74" t="s">
        <v>150</v>
      </c>
      <c r="F92" s="8" t="s">
        <v>148</v>
      </c>
      <c r="G92" s="38" cm="1">
        <f t="array" ref="G92">_xlfn.XLOOKUP(1,('Cost Schedule'!$B$391:$B$408=BESS!E92)*('Cost Schedule'!$A$391:$A$408=BESS!F92),'Cost Schedule'!$C$391:$C$408)</f>
        <v>4484.795132993283</v>
      </c>
      <c r="H92" s="72"/>
      <c r="I92" s="39">
        <f t="shared" si="6"/>
        <v>4484.795132993283</v>
      </c>
      <c r="J92" s="238" t="s">
        <v>62</v>
      </c>
      <c r="K92" s="45">
        <f t="shared" si="7"/>
        <v>0</v>
      </c>
      <c r="L92" s="73"/>
    </row>
    <row r="93" spans="2:12" s="214" customFormat="1" ht="13">
      <c r="B93" s="37" t="s">
        <v>151</v>
      </c>
      <c r="C93" s="67"/>
      <c r="D93" s="238" t="s">
        <v>62</v>
      </c>
      <c r="E93" s="74" t="s">
        <v>152</v>
      </c>
      <c r="F93" s="8" t="s">
        <v>148</v>
      </c>
      <c r="G93" s="38" cm="1">
        <f t="array" ref="G93">_xlfn.XLOOKUP(1,('Cost Schedule'!$B$391:$B$408=BESS!E93)*('Cost Schedule'!$A$391:$A$408=BESS!F93),'Cost Schedule'!$C$391:$C$408)</f>
        <v>2659.0252409113041</v>
      </c>
      <c r="H93" s="72"/>
      <c r="I93" s="39">
        <f t="shared" si="6"/>
        <v>2659.0252409113041</v>
      </c>
      <c r="J93" s="238" t="s">
        <v>62</v>
      </c>
      <c r="K93" s="45">
        <f t="shared" si="7"/>
        <v>0</v>
      </c>
      <c r="L93" s="73"/>
    </row>
    <row r="94" spans="2:12" s="214" customFormat="1" ht="13">
      <c r="B94" s="37" t="s">
        <v>153</v>
      </c>
      <c r="C94" s="67"/>
      <c r="D94" s="238" t="s">
        <v>62</v>
      </c>
      <c r="E94" s="74" t="s">
        <v>152</v>
      </c>
      <c r="F94" s="8" t="s">
        <v>146</v>
      </c>
      <c r="G94" s="38" cm="1">
        <f t="array" ref="G94">_xlfn.XLOOKUP(1,('Cost Schedule'!$B$391:$B$408=BESS!E94)*('Cost Schedule'!$A$391:$A$408=BESS!F94),'Cost Schedule'!$C$391:$C$408)</f>
        <v>1945.0252409113041</v>
      </c>
      <c r="H94" s="72"/>
      <c r="I94" s="39">
        <f t="shared" si="6"/>
        <v>1945.0252409113041</v>
      </c>
      <c r="J94" s="238" t="s">
        <v>62</v>
      </c>
      <c r="K94" s="45">
        <f t="shared" si="7"/>
        <v>0</v>
      </c>
      <c r="L94" s="73"/>
    </row>
    <row r="95" spans="2:12" s="214" customFormat="1" ht="13">
      <c r="B95" s="37" t="s">
        <v>154</v>
      </c>
      <c r="C95" s="67"/>
      <c r="D95" s="238" t="s">
        <v>62</v>
      </c>
      <c r="E95" s="74" t="s">
        <v>152</v>
      </c>
      <c r="F95" s="8" t="s">
        <v>148</v>
      </c>
      <c r="G95" s="38" cm="1">
        <f t="array" ref="G95">_xlfn.XLOOKUP(1,('Cost Schedule'!$B$391:$B$408=BESS!E95)*('Cost Schedule'!$A$391:$A$408=BESS!F95),'Cost Schedule'!$C$391:$C$408)</f>
        <v>2659.0252409113041</v>
      </c>
      <c r="H95" s="72"/>
      <c r="I95" s="39">
        <f t="shared" si="6"/>
        <v>2659.0252409113041</v>
      </c>
      <c r="J95" s="238" t="s">
        <v>62</v>
      </c>
      <c r="K95" s="45">
        <f t="shared" si="7"/>
        <v>0</v>
      </c>
      <c r="L95" s="73"/>
    </row>
    <row r="96" spans="2:12" s="214" customFormat="1" ht="13">
      <c r="B96" s="37" t="s">
        <v>155</v>
      </c>
      <c r="C96" s="67"/>
      <c r="D96" s="238" t="s">
        <v>62</v>
      </c>
      <c r="E96" s="74" t="s">
        <v>156</v>
      </c>
      <c r="F96" s="8" t="s">
        <v>157</v>
      </c>
      <c r="G96" s="38" cm="1">
        <f t="array" ref="G96">_xlfn.XLOOKUP(1,('Cost Schedule'!$B$391:$B$408=BESS!E96)*('Cost Schedule'!$A$391:$A$408=BESS!F96),'Cost Schedule'!$C$391:$C$408)</f>
        <v>1976.9455913838397</v>
      </c>
      <c r="H96" s="72"/>
      <c r="I96" s="39">
        <f t="shared" si="6"/>
        <v>1976.9455913838397</v>
      </c>
      <c r="J96" s="238" t="s">
        <v>62</v>
      </c>
      <c r="K96" s="45">
        <f t="shared" si="7"/>
        <v>0</v>
      </c>
      <c r="L96" s="73"/>
    </row>
    <row r="97" spans="2:12" s="214" customFormat="1" ht="13">
      <c r="B97" s="37" t="s">
        <v>158</v>
      </c>
      <c r="C97" s="67"/>
      <c r="D97" s="238" t="s">
        <v>62</v>
      </c>
      <c r="E97" s="74" t="s">
        <v>156</v>
      </c>
      <c r="F97" s="8" t="s">
        <v>146</v>
      </c>
      <c r="G97" s="38" cm="1">
        <f t="array" ref="G97">_xlfn.XLOOKUP(1,('Cost Schedule'!$B$391:$B$408=BESS!E97)*('Cost Schedule'!$A$391:$A$408=BESS!F97),'Cost Schedule'!$C$391:$C$408)</f>
        <v>2865.6821279782307</v>
      </c>
      <c r="H97" s="72"/>
      <c r="I97" s="39">
        <f t="shared" si="6"/>
        <v>2865.6821279782307</v>
      </c>
      <c r="J97" s="238" t="s">
        <v>62</v>
      </c>
      <c r="K97" s="45">
        <f t="shared" si="7"/>
        <v>0</v>
      </c>
      <c r="L97" s="73"/>
    </row>
    <row r="98" spans="2:12" s="214" customFormat="1" ht="13">
      <c r="B98" s="37" t="s">
        <v>159</v>
      </c>
      <c r="C98" s="67"/>
      <c r="D98" s="238" t="s">
        <v>62</v>
      </c>
      <c r="E98" s="74" t="s">
        <v>156</v>
      </c>
      <c r="F98" s="8" t="s">
        <v>148</v>
      </c>
      <c r="G98" s="38" cm="1">
        <f t="array" ref="G98">_xlfn.XLOOKUP(1,('Cost Schedule'!$B$391:$B$408=BESS!E98)*('Cost Schedule'!$A$391:$A$408=BESS!F98),'Cost Schedule'!$C$391:$C$408)</f>
        <v>3222.6821279782307</v>
      </c>
      <c r="H98" s="72"/>
      <c r="I98" s="39">
        <f t="shared" si="6"/>
        <v>3222.6821279782307</v>
      </c>
      <c r="J98" s="238" t="s">
        <v>62</v>
      </c>
      <c r="K98" s="45">
        <f t="shared" si="7"/>
        <v>0</v>
      </c>
      <c r="L98" s="73"/>
    </row>
    <row r="99" spans="2:12" s="214" customFormat="1" ht="13">
      <c r="B99" s="37" t="s">
        <v>160</v>
      </c>
      <c r="C99" s="67"/>
      <c r="D99" s="238" t="s">
        <v>62</v>
      </c>
      <c r="E99" s="74" t="s">
        <v>161</v>
      </c>
      <c r="F99" s="8" t="s">
        <v>157</v>
      </c>
      <c r="G99" s="38" cm="1">
        <f t="array" ref="G99">_xlfn.XLOOKUP(1,('Cost Schedule'!$B$391:$B$408=BESS!E99)*('Cost Schedule'!$A$391:$A$408=BESS!F99),'Cost Schedule'!$C$391:$C$408)</f>
        <v>3953.8911827676793</v>
      </c>
      <c r="H99" s="72"/>
      <c r="I99" s="39">
        <f t="shared" si="6"/>
        <v>3953.8911827676793</v>
      </c>
      <c r="J99" s="238" t="s">
        <v>62</v>
      </c>
      <c r="K99" s="45">
        <f t="shared" si="7"/>
        <v>0</v>
      </c>
      <c r="L99" s="73"/>
    </row>
    <row r="100" spans="2:12" s="214" customFormat="1" ht="13">
      <c r="B100" s="37" t="s">
        <v>162</v>
      </c>
      <c r="C100" s="67"/>
      <c r="D100" s="238" t="s">
        <v>62</v>
      </c>
      <c r="E100" s="74" t="s">
        <v>161</v>
      </c>
      <c r="F100" s="8" t="s">
        <v>146</v>
      </c>
      <c r="G100" s="38" cm="1">
        <f t="array" ref="G100">_xlfn.XLOOKUP(1,('Cost Schedule'!$B$391:$B$408=BESS!E100)*('Cost Schedule'!$A$391:$A$408=BESS!F100),'Cost Schedule'!$C$391:$C$408)</f>
        <v>5731.3642559564614</v>
      </c>
      <c r="H100" s="72"/>
      <c r="I100" s="39">
        <f t="shared" si="6"/>
        <v>5731.3642559564614</v>
      </c>
      <c r="J100" s="238" t="s">
        <v>62</v>
      </c>
      <c r="K100" s="45">
        <f t="shared" si="7"/>
        <v>0</v>
      </c>
      <c r="L100" s="73"/>
    </row>
    <row r="101" spans="2:12" s="214" customFormat="1" ht="13">
      <c r="B101" s="37" t="s">
        <v>163</v>
      </c>
      <c r="C101" s="67"/>
      <c r="D101" s="238" t="s">
        <v>62</v>
      </c>
      <c r="E101" s="74" t="s">
        <v>161</v>
      </c>
      <c r="F101" s="8" t="s">
        <v>148</v>
      </c>
      <c r="G101" s="38" cm="1">
        <f t="array" ref="G101">_xlfn.XLOOKUP(1,('Cost Schedule'!$B$391:$B$408=BESS!E101)*('Cost Schedule'!$A$391:$A$408=BESS!F101),'Cost Schedule'!$C$391:$C$408)</f>
        <v>6445.3642559564614</v>
      </c>
      <c r="H101" s="72"/>
      <c r="I101" s="39">
        <f t="shared" si="6"/>
        <v>6445.3642559564614</v>
      </c>
      <c r="J101" s="238" t="s">
        <v>62</v>
      </c>
      <c r="K101" s="45">
        <f t="shared" si="7"/>
        <v>0</v>
      </c>
      <c r="L101" s="73"/>
    </row>
    <row r="102" spans="2:12" s="214" customFormat="1" ht="13">
      <c r="B102" s="37" t="s">
        <v>164</v>
      </c>
      <c r="C102" s="67"/>
      <c r="D102" s="238" t="s">
        <v>62</v>
      </c>
      <c r="E102" s="74" t="s">
        <v>150</v>
      </c>
      <c r="F102" s="8" t="s">
        <v>157</v>
      </c>
      <c r="G102" s="38" cm="1">
        <f t="array" ref="G102">_xlfn.XLOOKUP(1,('Cost Schedule'!$B$391:$B$408=BESS!E102)*('Cost Schedule'!$A$391:$A$408=BESS!F102),'Cost Schedule'!$C$391:$C$408)</f>
        <v>3239.0585963988915</v>
      </c>
      <c r="H102" s="72"/>
      <c r="I102" s="39">
        <f t="shared" si="6"/>
        <v>3239.0585963988915</v>
      </c>
      <c r="J102" s="238" t="s">
        <v>62</v>
      </c>
      <c r="K102" s="45">
        <f t="shared" si="7"/>
        <v>0</v>
      </c>
      <c r="L102" s="73"/>
    </row>
    <row r="103" spans="2:12" s="214" customFormat="1" ht="13">
      <c r="B103" s="37" t="s">
        <v>165</v>
      </c>
      <c r="C103" s="67"/>
      <c r="D103" s="238" t="s">
        <v>62</v>
      </c>
      <c r="E103" s="74" t="s">
        <v>150</v>
      </c>
      <c r="F103" s="8" t="s">
        <v>146</v>
      </c>
      <c r="G103" s="38" cm="1">
        <f t="array" ref="G103">_xlfn.XLOOKUP(1,('Cost Schedule'!$B$391:$B$408=BESS!E103)*('Cost Schedule'!$A$391:$A$408=BESS!F103),'Cost Schedule'!$C$391:$C$408)</f>
        <v>4127.795132993283</v>
      </c>
      <c r="H103" s="72"/>
      <c r="I103" s="39">
        <f t="shared" si="6"/>
        <v>4127.795132993283</v>
      </c>
      <c r="J103" s="238" t="s">
        <v>62</v>
      </c>
      <c r="K103" s="45">
        <f t="shared" si="7"/>
        <v>0</v>
      </c>
      <c r="L103" s="73"/>
    </row>
    <row r="104" spans="2:12" s="214" customFormat="1" ht="13">
      <c r="B104" s="37" t="s">
        <v>166</v>
      </c>
      <c r="C104" s="67"/>
      <c r="D104" s="238" t="s">
        <v>62</v>
      </c>
      <c r="E104" s="74" t="s">
        <v>150</v>
      </c>
      <c r="F104" s="8" t="s">
        <v>148</v>
      </c>
      <c r="G104" s="38" cm="1">
        <f t="array" ref="G104">_xlfn.XLOOKUP(1,('Cost Schedule'!$B$391:$B$408=BESS!E104)*('Cost Schedule'!$A$391:$A$408=BESS!F104),'Cost Schedule'!$C$391:$C$408)</f>
        <v>4484.795132993283</v>
      </c>
      <c r="H104" s="72"/>
      <c r="I104" s="39">
        <f t="shared" si="6"/>
        <v>4484.795132993283</v>
      </c>
      <c r="J104" s="238" t="s">
        <v>62</v>
      </c>
      <c r="K104" s="45">
        <f t="shared" si="7"/>
        <v>0</v>
      </c>
      <c r="L104" s="73"/>
    </row>
    <row r="105" spans="2:12" s="214" customFormat="1" ht="13">
      <c r="B105" s="37" t="s">
        <v>167</v>
      </c>
      <c r="C105" s="67"/>
      <c r="D105" s="238" t="s">
        <v>62</v>
      </c>
      <c r="E105" s="74" t="s">
        <v>168</v>
      </c>
      <c r="F105" s="8" t="s">
        <v>157</v>
      </c>
      <c r="G105" s="38" cm="1">
        <f t="array" ref="G105">_xlfn.XLOOKUP(1,('Cost Schedule'!$B$391:$B$408=BESS!E105)*('Cost Schedule'!$A$391:$A$408=BESS!F105),'Cost Schedule'!$C$391:$C$408)</f>
        <v>6478.117192797783</v>
      </c>
      <c r="H105" s="72"/>
      <c r="I105" s="39">
        <f t="shared" si="6"/>
        <v>6478.117192797783</v>
      </c>
      <c r="J105" s="238" t="s">
        <v>62</v>
      </c>
      <c r="K105" s="45">
        <f t="shared" si="7"/>
        <v>0</v>
      </c>
      <c r="L105" s="73"/>
    </row>
    <row r="106" spans="2:12" s="214" customFormat="1" ht="13">
      <c r="B106" s="37" t="s">
        <v>169</v>
      </c>
      <c r="C106" s="67"/>
      <c r="D106" s="238" t="s">
        <v>62</v>
      </c>
      <c r="E106" s="74" t="s">
        <v>168</v>
      </c>
      <c r="F106" s="8" t="s">
        <v>146</v>
      </c>
      <c r="G106" s="38" cm="1">
        <f t="array" ref="G106">_xlfn.XLOOKUP(1,('Cost Schedule'!$B$391:$B$408=BESS!E106)*('Cost Schedule'!$A$391:$A$408=BESS!F106),'Cost Schedule'!$C$391:$C$408)</f>
        <v>8255.590265986566</v>
      </c>
      <c r="H106" s="72"/>
      <c r="I106" s="39">
        <f t="shared" si="6"/>
        <v>8255.590265986566</v>
      </c>
      <c r="J106" s="238" t="s">
        <v>62</v>
      </c>
      <c r="K106" s="45">
        <f t="shared" si="7"/>
        <v>0</v>
      </c>
      <c r="L106" s="73"/>
    </row>
    <row r="107" spans="2:12" s="214" customFormat="1" ht="13">
      <c r="B107" s="37" t="s">
        <v>170</v>
      </c>
      <c r="C107" s="67"/>
      <c r="D107" s="238" t="s">
        <v>62</v>
      </c>
      <c r="E107" s="74" t="s">
        <v>168</v>
      </c>
      <c r="F107" s="8" t="s">
        <v>148</v>
      </c>
      <c r="G107" s="38" cm="1">
        <f t="array" ref="G107">_xlfn.XLOOKUP(1,('Cost Schedule'!$B$391:$B$408=BESS!E107)*('Cost Schedule'!$A$391:$A$408=BESS!F107),'Cost Schedule'!$C$391:$C$408)</f>
        <v>8969.590265986566</v>
      </c>
      <c r="H107" s="72"/>
      <c r="I107" s="39">
        <f t="shared" si="6"/>
        <v>8969.590265986566</v>
      </c>
      <c r="J107" s="238" t="s">
        <v>62</v>
      </c>
      <c r="K107" s="45">
        <f t="shared" si="7"/>
        <v>0</v>
      </c>
      <c r="L107" s="73"/>
    </row>
    <row r="108" spans="2:12" s="214" customFormat="1">
      <c r="C108" s="336"/>
      <c r="E108" s="238"/>
      <c r="F108" s="238"/>
      <c r="I108" s="332"/>
      <c r="L108" s="73"/>
    </row>
    <row r="109" spans="2:12" ht="13">
      <c r="B109" s="220" t="str">
        <f>B$24</f>
        <v>Totals</v>
      </c>
      <c r="C109" s="313">
        <f>SUM(C89:C108)</f>
        <v>0</v>
      </c>
      <c r="D109" s="238" t="s">
        <v>62</v>
      </c>
      <c r="H109" s="265" t="s">
        <v>171</v>
      </c>
      <c r="I109" s="39">
        <f>IF(C109=0,0,K109/C109)</f>
        <v>0</v>
      </c>
      <c r="J109" s="266" t="s">
        <v>249</v>
      </c>
      <c r="K109" s="102">
        <f>SUM(K89:K108)</f>
        <v>0</v>
      </c>
      <c r="L109" s="73"/>
    </row>
    <row r="110" spans="2:12">
      <c r="C110" s="337"/>
      <c r="L110" s="73"/>
    </row>
    <row r="111" spans="2:12" ht="13">
      <c r="B111" s="217" t="s">
        <v>173</v>
      </c>
      <c r="C111" s="217"/>
      <c r="D111" s="217"/>
      <c r="E111" s="217"/>
      <c r="F111" s="217"/>
      <c r="G111" s="217"/>
      <c r="H111" s="217"/>
      <c r="I111" s="217"/>
      <c r="J111" s="217"/>
      <c r="K111" s="217"/>
      <c r="L111" s="217"/>
    </row>
    <row r="112" spans="2:12" ht="13">
      <c r="B112" s="261" t="s">
        <v>71</v>
      </c>
      <c r="C112" s="262" t="s">
        <v>72</v>
      </c>
      <c r="D112" s="262" t="s">
        <v>51</v>
      </c>
      <c r="E112" s="264" t="s">
        <v>83</v>
      </c>
      <c r="F112" s="264"/>
      <c r="G112" s="263" t="s">
        <v>50</v>
      </c>
      <c r="H112" s="263" t="s">
        <v>73</v>
      </c>
      <c r="I112" s="263" t="s">
        <v>74</v>
      </c>
      <c r="J112" s="263" t="s">
        <v>75</v>
      </c>
      <c r="K112" s="263" t="s">
        <v>76</v>
      </c>
      <c r="L112" s="73"/>
    </row>
    <row r="113" spans="2:12" ht="13">
      <c r="B113" s="37" t="s">
        <v>174</v>
      </c>
      <c r="C113" s="67"/>
      <c r="D113" s="238" t="s">
        <v>62</v>
      </c>
      <c r="E113" s="74" t="s">
        <v>175</v>
      </c>
      <c r="F113" s="8" t="s">
        <v>148</v>
      </c>
      <c r="G113" s="38" cm="1">
        <f t="array" ref="G113">_xlfn.XLOOKUP(1,('Cost Schedule'!$B$212:$B$220=BESS!E113)*('Cost Schedule'!$A$212:$A$220=BESS!F113),'Cost Schedule'!$C$212:$C$220)</f>
        <v>4785.51258101035</v>
      </c>
      <c r="H113" s="72"/>
      <c r="I113" s="39">
        <f t="shared" ref="I113:I121" si="8">IF(H113="",G113,H113)</f>
        <v>4785.51258101035</v>
      </c>
      <c r="J113" s="238" t="s">
        <v>62</v>
      </c>
      <c r="K113" s="45">
        <f t="shared" ref="K113" si="9">I113*C113</f>
        <v>0</v>
      </c>
      <c r="L113" s="73"/>
    </row>
    <row r="114" spans="2:12" s="214" customFormat="1" ht="13">
      <c r="B114" s="37" t="s">
        <v>176</v>
      </c>
      <c r="C114" s="67"/>
      <c r="D114" s="238" t="s">
        <v>62</v>
      </c>
      <c r="E114" s="74" t="s">
        <v>177</v>
      </c>
      <c r="F114" s="8" t="s">
        <v>148</v>
      </c>
      <c r="G114" s="38" cm="1">
        <f t="array" ref="G114">_xlfn.XLOOKUP(1,('Cost Schedule'!$B$212:$B$220=BESS!E114)*('Cost Schedule'!$A$212:$A$220=BESS!F114),'Cost Schedule'!$C$212:$C$220)</f>
        <v>17406.642631160877</v>
      </c>
      <c r="H114" s="72"/>
      <c r="I114" s="39">
        <f t="shared" si="8"/>
        <v>17406.642631160877</v>
      </c>
      <c r="J114" s="238" t="s">
        <v>62</v>
      </c>
      <c r="K114" s="45">
        <f>I114*C114</f>
        <v>0</v>
      </c>
      <c r="L114" s="73"/>
    </row>
    <row r="115" spans="2:12" s="214" customFormat="1" ht="13">
      <c r="B115" s="37" t="s">
        <v>178</v>
      </c>
      <c r="C115" s="67"/>
      <c r="D115" s="238" t="s">
        <v>62</v>
      </c>
      <c r="E115" s="74" t="s">
        <v>179</v>
      </c>
      <c r="F115" s="8" t="s">
        <v>148</v>
      </c>
      <c r="G115" s="38" cm="1">
        <f t="array" ref="G115">_xlfn.XLOOKUP(1,('Cost Schedule'!$B$212:$B$220=BESS!E115)*('Cost Schedule'!$A$212:$A$220=BESS!F115),'Cost Schedule'!$C$212:$C$220)</f>
        <v>51738.299644863699</v>
      </c>
      <c r="H115" s="72"/>
      <c r="I115" s="39">
        <f t="shared" si="8"/>
        <v>51738.299644863699</v>
      </c>
      <c r="J115" s="238" t="s">
        <v>62</v>
      </c>
      <c r="K115" s="45">
        <f t="shared" ref="K115:K121" si="10">I115*C115</f>
        <v>0</v>
      </c>
      <c r="L115" s="73"/>
    </row>
    <row r="116" spans="2:12" s="214" customFormat="1" ht="13">
      <c r="B116" s="37" t="s">
        <v>180</v>
      </c>
      <c r="C116" s="67"/>
      <c r="D116" s="238" t="s">
        <v>62</v>
      </c>
      <c r="E116" s="74" t="s">
        <v>175</v>
      </c>
      <c r="F116" s="8" t="s">
        <v>148</v>
      </c>
      <c r="G116" s="38" cm="1">
        <f t="array" ref="G116">_xlfn.XLOOKUP(1,('Cost Schedule'!$B$212:$B$220=BESS!E116)*('Cost Schedule'!$A$212:$A$220=BESS!F116),'Cost Schedule'!$C$212:$C$220)</f>
        <v>4785.51258101035</v>
      </c>
      <c r="H116" s="72"/>
      <c r="I116" s="39">
        <f t="shared" si="8"/>
        <v>4785.51258101035</v>
      </c>
      <c r="J116" s="238" t="s">
        <v>62</v>
      </c>
      <c r="K116" s="45">
        <f t="shared" si="10"/>
        <v>0</v>
      </c>
      <c r="L116" s="73"/>
    </row>
    <row r="117" spans="2:12" s="214" customFormat="1" ht="13">
      <c r="B117" s="37" t="s">
        <v>181</v>
      </c>
      <c r="C117" s="67"/>
      <c r="D117" s="238" t="s">
        <v>62</v>
      </c>
      <c r="E117" s="74" t="s">
        <v>175</v>
      </c>
      <c r="F117" s="8" t="s">
        <v>148</v>
      </c>
      <c r="G117" s="38" cm="1">
        <f t="array" ref="G117">_xlfn.XLOOKUP(1,('Cost Schedule'!$B$212:$B$220=BESS!E117)*('Cost Schedule'!$A$212:$A$220=BESS!F117),'Cost Schedule'!$C$212:$C$220)</f>
        <v>4785.51258101035</v>
      </c>
      <c r="H117" s="72"/>
      <c r="I117" s="39">
        <f t="shared" si="8"/>
        <v>4785.51258101035</v>
      </c>
      <c r="J117" s="238" t="s">
        <v>62</v>
      </c>
      <c r="K117" s="45">
        <f t="shared" si="10"/>
        <v>0</v>
      </c>
      <c r="L117" s="73"/>
    </row>
    <row r="118" spans="2:12" s="214" customFormat="1" ht="13">
      <c r="B118" s="37" t="s">
        <v>182</v>
      </c>
      <c r="C118" s="67"/>
      <c r="D118" s="238" t="s">
        <v>62</v>
      </c>
      <c r="E118" s="74" t="s">
        <v>175</v>
      </c>
      <c r="F118" s="8" t="s">
        <v>148</v>
      </c>
      <c r="G118" s="38" cm="1">
        <f t="array" ref="G118">_xlfn.XLOOKUP(1,('Cost Schedule'!$B$212:$B$220=BESS!E118)*('Cost Schedule'!$A$212:$A$220=BESS!F118),'Cost Schedule'!$C$212:$C$220)</f>
        <v>4785.51258101035</v>
      </c>
      <c r="H118" s="72"/>
      <c r="I118" s="39">
        <f t="shared" si="8"/>
        <v>4785.51258101035</v>
      </c>
      <c r="J118" s="238" t="s">
        <v>62</v>
      </c>
      <c r="K118" s="45">
        <f t="shared" si="10"/>
        <v>0</v>
      </c>
      <c r="L118" s="73"/>
    </row>
    <row r="119" spans="2:12" s="214" customFormat="1" ht="13">
      <c r="B119" s="37" t="s">
        <v>183</v>
      </c>
      <c r="C119" s="67"/>
      <c r="D119" s="238" t="s">
        <v>62</v>
      </c>
      <c r="E119" s="74" t="s">
        <v>175</v>
      </c>
      <c r="F119" s="8" t="s">
        <v>148</v>
      </c>
      <c r="G119" s="38" cm="1">
        <f t="array" ref="G119">_xlfn.XLOOKUP(1,('Cost Schedule'!$B$212:$B$220=BESS!E119)*('Cost Schedule'!$A$212:$A$220=BESS!F119),'Cost Schedule'!$C$212:$C$220)</f>
        <v>4785.51258101035</v>
      </c>
      <c r="H119" s="72"/>
      <c r="I119" s="39">
        <f t="shared" si="8"/>
        <v>4785.51258101035</v>
      </c>
      <c r="J119" s="238" t="s">
        <v>62</v>
      </c>
      <c r="K119" s="45">
        <f t="shared" si="10"/>
        <v>0</v>
      </c>
      <c r="L119" s="73"/>
    </row>
    <row r="120" spans="2:12" s="214" customFormat="1" ht="13">
      <c r="B120" s="37" t="s">
        <v>184</v>
      </c>
      <c r="C120" s="67"/>
      <c r="D120" s="238" t="s">
        <v>62</v>
      </c>
      <c r="E120" s="74" t="s">
        <v>175</v>
      </c>
      <c r="F120" s="8" t="s">
        <v>148</v>
      </c>
      <c r="G120" s="38" cm="1">
        <f t="array" ref="G120">_xlfn.XLOOKUP(1,('Cost Schedule'!$B$212:$B$220=BESS!E120)*('Cost Schedule'!$A$212:$A$220=BESS!F120),'Cost Schedule'!$C$212:$C$220)</f>
        <v>4785.51258101035</v>
      </c>
      <c r="H120" s="72"/>
      <c r="I120" s="39">
        <f t="shared" si="8"/>
        <v>4785.51258101035</v>
      </c>
      <c r="J120" s="238" t="s">
        <v>62</v>
      </c>
      <c r="K120" s="45">
        <f t="shared" si="10"/>
        <v>0</v>
      </c>
      <c r="L120" s="73"/>
    </row>
    <row r="121" spans="2:12" s="214" customFormat="1" ht="13">
      <c r="B121" s="37" t="s">
        <v>185</v>
      </c>
      <c r="C121" s="67"/>
      <c r="D121" s="238" t="s">
        <v>62</v>
      </c>
      <c r="E121" s="74" t="s">
        <v>175</v>
      </c>
      <c r="F121" s="8" t="s">
        <v>148</v>
      </c>
      <c r="G121" s="38" cm="1">
        <f t="array" ref="G121">_xlfn.XLOOKUP(1,('Cost Schedule'!$B$212:$B$220=BESS!E121)*('Cost Schedule'!$A$212:$A$220=BESS!F121),'Cost Schedule'!$C$212:$C$220)</f>
        <v>4785.51258101035</v>
      </c>
      <c r="H121" s="72"/>
      <c r="I121" s="39">
        <f t="shared" si="8"/>
        <v>4785.51258101035</v>
      </c>
      <c r="J121" s="238" t="s">
        <v>62</v>
      </c>
      <c r="K121" s="45">
        <f t="shared" si="10"/>
        <v>0</v>
      </c>
      <c r="L121" s="73"/>
    </row>
    <row r="122" spans="2:12" s="214" customFormat="1">
      <c r="C122" s="336"/>
      <c r="E122" s="238"/>
      <c r="F122" s="238"/>
      <c r="I122" s="332"/>
      <c r="L122" s="70"/>
    </row>
    <row r="123" spans="2:12" ht="13">
      <c r="B123" s="220" t="str">
        <f>B$24</f>
        <v>Totals</v>
      </c>
      <c r="C123" s="313">
        <f>SUM(C112:C122)</f>
        <v>0</v>
      </c>
      <c r="D123" s="238" t="s">
        <v>62</v>
      </c>
      <c r="H123" s="265" t="s">
        <v>186</v>
      </c>
      <c r="I123" s="39">
        <f>IF(C123=0,0,K123/C123)</f>
        <v>0</v>
      </c>
      <c r="J123" s="266" t="s">
        <v>249</v>
      </c>
      <c r="K123" s="102">
        <f>SUM(K112:K122)</f>
        <v>0</v>
      </c>
      <c r="L123" s="73"/>
    </row>
    <row r="124" spans="2:12">
      <c r="L124" s="70"/>
    </row>
    <row r="125" spans="2:12" ht="13">
      <c r="B125" s="217" t="s">
        <v>187</v>
      </c>
      <c r="C125" s="217"/>
      <c r="D125" s="217"/>
      <c r="E125" s="217"/>
      <c r="F125" s="217"/>
      <c r="G125" s="217"/>
      <c r="H125" s="217"/>
      <c r="I125" s="217"/>
      <c r="J125" s="217"/>
      <c r="K125" s="217"/>
      <c r="L125" s="217"/>
    </row>
    <row r="126" spans="2:12" ht="13">
      <c r="B126" s="261" t="s">
        <v>71</v>
      </c>
      <c r="C126" s="262" t="s">
        <v>72</v>
      </c>
      <c r="D126" s="262" t="s">
        <v>51</v>
      </c>
      <c r="E126" s="264" t="s">
        <v>83</v>
      </c>
      <c r="F126" s="264"/>
      <c r="G126" s="263" t="s">
        <v>50</v>
      </c>
      <c r="H126" s="263" t="s">
        <v>73</v>
      </c>
      <c r="I126" s="263" t="s">
        <v>74</v>
      </c>
      <c r="J126" s="263" t="s">
        <v>75</v>
      </c>
      <c r="K126" s="263" t="s">
        <v>76</v>
      </c>
      <c r="L126" s="70"/>
    </row>
    <row r="127" spans="2:12" ht="13">
      <c r="B127" s="37" t="s">
        <v>188</v>
      </c>
      <c r="C127" s="67"/>
      <c r="D127" s="238" t="s">
        <v>62</v>
      </c>
      <c r="E127" s="74" t="s">
        <v>189</v>
      </c>
      <c r="F127" s="8" t="s">
        <v>157</v>
      </c>
      <c r="G127" s="38" cm="1">
        <f t="array" ref="G127">_xlfn.XLOOKUP(1,('Cost Schedule'!$B$6:$B$14=BESS!E127)*('Cost Schedule'!$A$6:$A$14=BESS!F127),'Cost Schedule'!$C$6:$C$14)</f>
        <v>39762.562527538706</v>
      </c>
      <c r="H127" s="72"/>
      <c r="I127" s="39">
        <f>IF(H127="",G127,H127)</f>
        <v>39762.562527538706</v>
      </c>
      <c r="J127" s="238" t="s">
        <v>62</v>
      </c>
      <c r="K127" s="45">
        <f>I127*C127</f>
        <v>0</v>
      </c>
      <c r="L127" s="73"/>
    </row>
    <row r="128" spans="2:12" s="214" customFormat="1" ht="13">
      <c r="B128" s="37" t="s">
        <v>190</v>
      </c>
      <c r="C128" s="67"/>
      <c r="D128" s="238" t="s">
        <v>62</v>
      </c>
      <c r="E128" s="74" t="s">
        <v>191</v>
      </c>
      <c r="F128" s="8" t="s">
        <v>148</v>
      </c>
      <c r="G128" s="38" cm="1">
        <f t="array" ref="G128">_xlfn.XLOOKUP(1,('Cost Schedule'!$B$6:$B$14=BESS!E128)*('Cost Schedule'!$A$6:$A$14=BESS!F128),'Cost Schedule'!$C$6:$C$14)</f>
        <v>14356.537743031051</v>
      </c>
      <c r="H128" s="72"/>
      <c r="I128" s="39">
        <f>IF(H128="",G128,H128)</f>
        <v>14356.537743031051</v>
      </c>
      <c r="J128" s="238" t="s">
        <v>62</v>
      </c>
      <c r="K128" s="45">
        <f>I128*C128</f>
        <v>0</v>
      </c>
      <c r="L128" s="73"/>
    </row>
    <row r="129" spans="2:12" s="214" customFormat="1">
      <c r="C129" s="336"/>
      <c r="E129" s="238"/>
      <c r="F129" s="238"/>
      <c r="I129" s="332"/>
      <c r="L129" s="70"/>
    </row>
    <row r="130" spans="2:12" ht="13">
      <c r="B130" s="220" t="str">
        <f>B$24</f>
        <v>Totals</v>
      </c>
      <c r="C130" s="313">
        <f>SUM(C126:C129)</f>
        <v>0</v>
      </c>
      <c r="D130" s="238" t="s">
        <v>62</v>
      </c>
      <c r="H130" s="265" t="s">
        <v>192</v>
      </c>
      <c r="I130" s="39">
        <f>IF(C130=0,0,K130/C130)</f>
        <v>0</v>
      </c>
      <c r="J130" s="266" t="s">
        <v>249</v>
      </c>
      <c r="K130" s="102">
        <f>SUM(K126:K129)</f>
        <v>0</v>
      </c>
      <c r="L130" s="73"/>
    </row>
    <row r="131" spans="2:12">
      <c r="L131" s="70"/>
    </row>
    <row r="132" spans="2:12" ht="13">
      <c r="B132" s="217" t="s">
        <v>193</v>
      </c>
      <c r="C132" s="217"/>
      <c r="D132" s="217"/>
      <c r="E132" s="217"/>
      <c r="F132" s="217"/>
      <c r="G132" s="217"/>
      <c r="H132" s="217"/>
      <c r="I132" s="217"/>
      <c r="J132" s="217"/>
      <c r="K132" s="217"/>
      <c r="L132" s="217"/>
    </row>
    <row r="133" spans="2:12" ht="13">
      <c r="B133" s="261" t="s">
        <v>71</v>
      </c>
      <c r="C133" s="262" t="s">
        <v>72</v>
      </c>
      <c r="D133" s="262" t="s">
        <v>51</v>
      </c>
      <c r="E133" s="264" t="s">
        <v>83</v>
      </c>
      <c r="F133" s="264"/>
      <c r="G133" s="263" t="s">
        <v>50</v>
      </c>
      <c r="H133" s="263" t="s">
        <v>73</v>
      </c>
      <c r="I133" s="263" t="s">
        <v>74</v>
      </c>
      <c r="J133" s="263" t="s">
        <v>75</v>
      </c>
      <c r="K133" s="263" t="s">
        <v>76</v>
      </c>
      <c r="L133" s="70"/>
    </row>
    <row r="134" spans="2:12" ht="15" customHeight="1">
      <c r="B134" s="37" t="s">
        <v>194</v>
      </c>
      <c r="C134" s="67"/>
      <c r="D134" s="238" t="str">
        <f>_xlfn.XLOOKUP(E134,Buildings_by_area_names_UR,Buildings_by_area_unit_CS)</f>
        <v>m2</v>
      </c>
      <c r="E134" s="74" t="s">
        <v>195</v>
      </c>
      <c r="F134" s="264"/>
      <c r="G134" s="47">
        <f>_xlfn.XLOOKUP(E134,Buildings_by_area_names_UR,Buildings_by_area_removal_rates_UR)</f>
        <v>208.11062861557767</v>
      </c>
      <c r="H134" s="72"/>
      <c r="I134" s="39">
        <f>IF(H134="",G134,H134)</f>
        <v>208.11062861557767</v>
      </c>
      <c r="J134" s="238" t="str">
        <f>D134</f>
        <v>m2</v>
      </c>
      <c r="K134" s="45">
        <f>I134*C134</f>
        <v>0</v>
      </c>
      <c r="L134" s="73"/>
    </row>
    <row r="135" spans="2:12" s="214" customFormat="1" ht="15" customHeight="1">
      <c r="B135" s="37" t="s">
        <v>196</v>
      </c>
      <c r="C135" s="67"/>
      <c r="D135" s="238" t="str">
        <f>_xlfn.XLOOKUP(E135,Buildings_by_area_names_UR,Buildings_by_area_unit_CS)</f>
        <v>m2</v>
      </c>
      <c r="E135" s="74" t="s">
        <v>197</v>
      </c>
      <c r="F135" s="264"/>
      <c r="G135" s="47">
        <f>_xlfn.XLOOKUP(E135,Buildings_by_area_names_UR,Buildings_by_area_removal_rates_UR)</f>
        <v>94.038485216966436</v>
      </c>
      <c r="H135" s="72"/>
      <c r="I135" s="39">
        <f>IF(H135="",G135,H135)</f>
        <v>94.038485216966436</v>
      </c>
      <c r="J135" s="238" t="str">
        <f t="shared" ref="J135:J138" si="11">D135</f>
        <v>m2</v>
      </c>
      <c r="K135" s="45">
        <f>I135*C135</f>
        <v>0</v>
      </c>
      <c r="L135" s="70"/>
    </row>
    <row r="136" spans="2:12" s="214" customFormat="1" ht="15" customHeight="1">
      <c r="B136" s="37" t="s">
        <v>198</v>
      </c>
      <c r="C136" s="67"/>
      <c r="D136" s="238" t="str">
        <f>_xlfn.XLOOKUP(E136,Buildings_by_area_names_UR,Buildings_by_area_unit_CS)</f>
        <v>m2</v>
      </c>
      <c r="E136" s="74" t="s">
        <v>199</v>
      </c>
      <c r="F136" s="264"/>
      <c r="G136" s="47">
        <f>_xlfn.XLOOKUP(E136,Buildings_by_area_names_UR,Buildings_by_area_removal_rates_UR)</f>
        <v>87.229587913547633</v>
      </c>
      <c r="H136" s="72"/>
      <c r="I136" s="39">
        <f>IF(H136="",G136,H136)</f>
        <v>87.229587913547633</v>
      </c>
      <c r="J136" s="238" t="str">
        <f t="shared" si="11"/>
        <v>m2</v>
      </c>
      <c r="K136" s="45">
        <f>I136*C136</f>
        <v>0</v>
      </c>
      <c r="L136" s="73"/>
    </row>
    <row r="137" spans="2:12" s="214" customFormat="1" ht="15" customHeight="1">
      <c r="B137" s="37" t="s">
        <v>200</v>
      </c>
      <c r="C137" s="67"/>
      <c r="D137" s="238" t="str">
        <f>_xlfn.XLOOKUP(E137,Buildings_by_area_names_UR,Buildings_by_area_unit_CS)</f>
        <v>m2</v>
      </c>
      <c r="E137" s="74" t="s">
        <v>201</v>
      </c>
      <c r="F137" s="264"/>
      <c r="G137" s="47">
        <f>_xlfn.XLOOKUP(E137,Buildings_by_area_names_UR,Buildings_by_area_removal_rates_UR)</f>
        <v>157.40763343503909</v>
      </c>
      <c r="H137" s="72"/>
      <c r="I137" s="39">
        <f>IF(H137="",G137,H137)</f>
        <v>157.40763343503909</v>
      </c>
      <c r="J137" s="238" t="str">
        <f t="shared" si="11"/>
        <v>m2</v>
      </c>
      <c r="K137" s="45">
        <f>I137*C137</f>
        <v>0</v>
      </c>
      <c r="L137" s="70"/>
    </row>
    <row r="138" spans="2:12" s="214" customFormat="1" ht="15" customHeight="1">
      <c r="B138" s="37" t="s">
        <v>202</v>
      </c>
      <c r="C138" s="67"/>
      <c r="D138" s="238" t="str">
        <f>_xlfn.XLOOKUP(E138,Buildings_by_area_names_UR,Buildings_by_area_unit_CS)</f>
        <v>m2</v>
      </c>
      <c r="E138" s="74" t="s">
        <v>195</v>
      </c>
      <c r="F138" s="264"/>
      <c r="G138" s="47">
        <f>_xlfn.XLOOKUP(E138,Buildings_by_area_names_UR,Buildings_by_area_removal_rates_UR)</f>
        <v>208.11062861557767</v>
      </c>
      <c r="H138" s="72"/>
      <c r="I138" s="39">
        <f>IF(H138="",G138,H138)</f>
        <v>208.11062861557767</v>
      </c>
      <c r="J138" s="238" t="str">
        <f t="shared" si="11"/>
        <v>m2</v>
      </c>
      <c r="K138" s="45">
        <f>I138*C138</f>
        <v>0</v>
      </c>
      <c r="L138" s="73"/>
    </row>
    <row r="139" spans="2:12" s="214" customFormat="1" ht="13">
      <c r="C139" s="336"/>
      <c r="F139" s="264"/>
      <c r="L139" s="70"/>
    </row>
    <row r="140" spans="2:12" ht="13">
      <c r="B140" s="220" t="str">
        <f>B$24</f>
        <v>Totals</v>
      </c>
      <c r="C140" s="313">
        <f>SUM(C133:C139)</f>
        <v>0</v>
      </c>
      <c r="D140" s="238" t="s">
        <v>203</v>
      </c>
      <c r="H140" s="265" t="s">
        <v>204</v>
      </c>
      <c r="I140" s="39">
        <f>IF(C140=0,0,K140/C140)</f>
        <v>0</v>
      </c>
      <c r="J140" s="266" t="s">
        <v>410</v>
      </c>
      <c r="K140" s="102">
        <f>SUM(K133:K139)</f>
        <v>0</v>
      </c>
      <c r="L140" s="73"/>
    </row>
    <row r="141" spans="2:12">
      <c r="L141" s="70"/>
    </row>
    <row r="142" spans="2:12" ht="13">
      <c r="B142" s="217" t="s">
        <v>206</v>
      </c>
      <c r="C142" s="217"/>
      <c r="D142" s="217"/>
      <c r="E142" s="217"/>
      <c r="F142" s="217"/>
      <c r="G142" s="217"/>
      <c r="H142" s="217"/>
      <c r="I142" s="217"/>
      <c r="J142" s="217"/>
      <c r="K142" s="217"/>
      <c r="L142" s="217"/>
    </row>
    <row r="143" spans="2:12" ht="13">
      <c r="B143" s="261" t="s">
        <v>71</v>
      </c>
      <c r="C143" s="262" t="s">
        <v>72</v>
      </c>
      <c r="D143" s="262" t="s">
        <v>51</v>
      </c>
      <c r="E143" s="264" t="s">
        <v>83</v>
      </c>
      <c r="F143" s="264"/>
      <c r="G143" s="263" t="s">
        <v>50</v>
      </c>
      <c r="H143" s="263" t="s">
        <v>73</v>
      </c>
      <c r="I143" s="263" t="s">
        <v>74</v>
      </c>
      <c r="J143" s="263" t="s">
        <v>75</v>
      </c>
      <c r="K143" s="263" t="s">
        <v>76</v>
      </c>
      <c r="L143" s="70"/>
    </row>
    <row r="144" spans="2:12" ht="14.25" customHeight="1">
      <c r="B144" s="37" t="s">
        <v>207</v>
      </c>
      <c r="C144" s="69"/>
      <c r="D144" s="238" t="s">
        <v>1007</v>
      </c>
      <c r="E144" s="78" t="s">
        <v>208</v>
      </c>
      <c r="F144" s="264"/>
      <c r="G144" s="38">
        <f>_xlfn.XLOOKUP(E144,Buildings_by_number_names_UR,Buildings_by_number_removal_rates_UR)</f>
        <v>2116.832977994005</v>
      </c>
      <c r="H144" s="72"/>
      <c r="I144" s="39">
        <f>IF(H144="",G144,H144)</f>
        <v>2116.832977994005</v>
      </c>
      <c r="J144" s="238" t="str">
        <f>D144</f>
        <v>building</v>
      </c>
      <c r="K144" s="45">
        <f>I144*C144</f>
        <v>0</v>
      </c>
      <c r="L144" s="73"/>
    </row>
    <row r="145" spans="2:12" s="214" customFormat="1" ht="14.25" customHeight="1">
      <c r="B145" s="37" t="s">
        <v>209</v>
      </c>
      <c r="C145" s="69"/>
      <c r="D145" s="238" t="s">
        <v>1007</v>
      </c>
      <c r="E145" s="78" t="s">
        <v>210</v>
      </c>
      <c r="F145" s="264"/>
      <c r="G145" s="38">
        <f>_xlfn.XLOOKUP(E145,Buildings_by_number_names_UR,Buildings_by_number_removal_rates_UR)</f>
        <v>1535.6089147798502</v>
      </c>
      <c r="H145" s="72"/>
      <c r="I145" s="39">
        <f>IF(H145="",G145,H145)</f>
        <v>1535.6089147798502</v>
      </c>
      <c r="J145" s="238" t="str">
        <f t="shared" ref="J145:J148" si="12">D145</f>
        <v>building</v>
      </c>
      <c r="K145" s="45">
        <f>I145*C145</f>
        <v>0</v>
      </c>
      <c r="L145" s="70"/>
    </row>
    <row r="146" spans="2:12" s="214" customFormat="1" ht="14.25" customHeight="1">
      <c r="B146" s="37" t="s">
        <v>211</v>
      </c>
      <c r="C146" s="69"/>
      <c r="D146" s="238" t="s">
        <v>1007</v>
      </c>
      <c r="E146" s="78" t="s">
        <v>212</v>
      </c>
      <c r="F146" s="264"/>
      <c r="G146" s="38">
        <f>_xlfn.XLOOKUP(E146,Buildings_by_number_names_UR,Buildings_by_number_removal_rates_UR)</f>
        <v>8718.1405761022397</v>
      </c>
      <c r="H146" s="72"/>
      <c r="I146" s="39">
        <f>IF(H146="",G146,H146)</f>
        <v>8718.1405761022397</v>
      </c>
      <c r="J146" s="238" t="str">
        <f t="shared" si="12"/>
        <v>building</v>
      </c>
      <c r="K146" s="45">
        <f>I146*C146</f>
        <v>0</v>
      </c>
      <c r="L146" s="73"/>
    </row>
    <row r="147" spans="2:12" s="214" customFormat="1" ht="14.25" customHeight="1">
      <c r="B147" s="37" t="s">
        <v>213</v>
      </c>
      <c r="C147" s="69"/>
      <c r="D147" s="238" t="s">
        <v>1007</v>
      </c>
      <c r="E147" s="78" t="s">
        <v>214</v>
      </c>
      <c r="F147" s="264"/>
      <c r="G147" s="38">
        <f>_xlfn.XLOOKUP(E147,Buildings_by_number_names_UR,Buildings_by_number_removal_rates_UR)</f>
        <v>4996.7383848157133</v>
      </c>
      <c r="H147" s="72"/>
      <c r="I147" s="39">
        <f>IF(H147="",G147,H147)</f>
        <v>4996.7383848157133</v>
      </c>
      <c r="J147" s="238" t="str">
        <f t="shared" si="12"/>
        <v>building</v>
      </c>
      <c r="K147" s="45">
        <f>I147*C147</f>
        <v>0</v>
      </c>
      <c r="L147" s="70"/>
    </row>
    <row r="148" spans="2:12" s="214" customFormat="1" ht="14.25" customHeight="1">
      <c r="B148" s="37" t="s">
        <v>215</v>
      </c>
      <c r="C148" s="69"/>
      <c r="D148" s="238" t="s">
        <v>1007</v>
      </c>
      <c r="E148" s="78" t="s">
        <v>210</v>
      </c>
      <c r="F148" s="264"/>
      <c r="G148" s="38">
        <f>_xlfn.XLOOKUP(E148,Buildings_by_number_names_UR,Buildings_by_number_removal_rates_UR)</f>
        <v>1535.6089147798502</v>
      </c>
      <c r="H148" s="72"/>
      <c r="I148" s="39">
        <f>IF(H148="",G148,H148)</f>
        <v>1535.6089147798502</v>
      </c>
      <c r="J148" s="238" t="str">
        <f t="shared" si="12"/>
        <v>building</v>
      </c>
      <c r="K148" s="45">
        <f>I148*C148</f>
        <v>0</v>
      </c>
      <c r="L148" s="73"/>
    </row>
    <row r="149" spans="2:12" s="214" customFormat="1" ht="13">
      <c r="C149" s="328"/>
      <c r="F149" s="264"/>
      <c r="L149" s="70"/>
    </row>
    <row r="150" spans="2:12" ht="13">
      <c r="B150" s="220" t="str">
        <f>B$24</f>
        <v>Totals</v>
      </c>
      <c r="C150" s="333">
        <f>SUM(C143:C149)</f>
        <v>0</v>
      </c>
      <c r="D150" s="238" t="s">
        <v>216</v>
      </c>
      <c r="H150" s="265" t="s">
        <v>204</v>
      </c>
      <c r="I150" s="39">
        <f>IF(C150=0,0,K150/C150)</f>
        <v>0</v>
      </c>
      <c r="J150" s="266" t="s">
        <v>217</v>
      </c>
      <c r="K150" s="102">
        <f>SUM(K143:K149)</f>
        <v>0</v>
      </c>
      <c r="L150" s="73"/>
    </row>
    <row r="151" spans="2:12">
      <c r="L151" s="70"/>
    </row>
    <row r="152" spans="2:12" ht="13">
      <c r="B152" s="217" t="s">
        <v>218</v>
      </c>
      <c r="C152" s="217"/>
      <c r="D152" s="217"/>
      <c r="E152" s="217"/>
      <c r="F152" s="217"/>
      <c r="G152" s="217"/>
      <c r="H152" s="217"/>
      <c r="I152" s="217"/>
      <c r="J152" s="217"/>
      <c r="K152" s="217"/>
      <c r="L152" s="217"/>
    </row>
    <row r="153" spans="2:12" ht="13">
      <c r="B153" s="261" t="s">
        <v>71</v>
      </c>
      <c r="C153" s="262" t="s">
        <v>72</v>
      </c>
      <c r="D153" s="262" t="s">
        <v>51</v>
      </c>
      <c r="E153" s="264" t="s">
        <v>83</v>
      </c>
      <c r="F153" s="264"/>
      <c r="G153" s="263" t="s">
        <v>50</v>
      </c>
      <c r="H153" s="263" t="s">
        <v>73</v>
      </c>
      <c r="I153" s="263" t="s">
        <v>74</v>
      </c>
      <c r="J153" s="263" t="s">
        <v>75</v>
      </c>
      <c r="K153" s="263" t="s">
        <v>76</v>
      </c>
      <c r="L153" s="70"/>
    </row>
    <row r="154" spans="2:12" ht="13">
      <c r="B154" s="37" t="s">
        <v>219</v>
      </c>
      <c r="C154" s="67"/>
      <c r="D154" s="238" t="s">
        <v>62</v>
      </c>
      <c r="G154" s="288"/>
      <c r="H154" s="263"/>
      <c r="I154" s="263"/>
      <c r="J154" s="263"/>
      <c r="K154" s="263"/>
      <c r="L154" s="73"/>
    </row>
    <row r="155" spans="2:12" ht="13">
      <c r="B155" s="37" t="s">
        <v>220</v>
      </c>
      <c r="C155" s="67"/>
      <c r="D155" s="238" t="s">
        <v>62</v>
      </c>
      <c r="G155" s="288"/>
      <c r="H155" s="263"/>
      <c r="I155" s="263"/>
      <c r="J155" s="263"/>
      <c r="K155" s="263"/>
      <c r="L155" s="73"/>
    </row>
    <row r="156" spans="2:12" ht="13">
      <c r="B156" s="37" t="s">
        <v>221</v>
      </c>
      <c r="C156" s="67"/>
      <c r="D156" s="238" t="s">
        <v>62</v>
      </c>
      <c r="G156" s="288"/>
      <c r="H156" s="263"/>
      <c r="I156" s="263"/>
      <c r="J156" s="263"/>
      <c r="K156" s="263"/>
      <c r="L156" s="73"/>
    </row>
    <row r="157" spans="2:12" ht="13">
      <c r="B157" s="37" t="s">
        <v>222</v>
      </c>
      <c r="C157" s="67"/>
      <c r="D157" s="238" t="s">
        <v>62</v>
      </c>
      <c r="G157" s="288"/>
      <c r="H157" s="263"/>
      <c r="I157" s="263"/>
      <c r="J157" s="263"/>
      <c r="K157" s="263"/>
      <c r="L157" s="73"/>
    </row>
    <row r="158" spans="2:12" ht="13">
      <c r="B158" s="37" t="s">
        <v>223</v>
      </c>
      <c r="C158" s="67"/>
      <c r="D158" s="238" t="s">
        <v>62</v>
      </c>
      <c r="G158" s="288"/>
      <c r="H158" s="263"/>
      <c r="I158" s="263"/>
      <c r="J158" s="263"/>
      <c r="K158" s="263"/>
      <c r="L158" s="73"/>
    </row>
    <row r="159" spans="2:12" ht="13">
      <c r="B159" s="37" t="s">
        <v>224</v>
      </c>
      <c r="C159" s="338">
        <f>SUM(C154:C158)</f>
        <v>0</v>
      </c>
      <c r="D159" s="238" t="s">
        <v>62</v>
      </c>
      <c r="G159" s="263"/>
      <c r="H159" s="263"/>
      <c r="I159" s="263"/>
      <c r="J159" s="263"/>
      <c r="K159" s="263"/>
      <c r="L159" s="73"/>
    </row>
    <row r="160" spans="2:12" ht="13">
      <c r="B160" s="37" t="s">
        <v>225</v>
      </c>
      <c r="C160" s="108"/>
      <c r="G160" s="263"/>
      <c r="H160" s="263"/>
      <c r="I160" s="263"/>
      <c r="J160" s="263"/>
      <c r="K160" s="263"/>
      <c r="L160" s="70"/>
    </row>
    <row r="161" spans="2:12" ht="13">
      <c r="B161" s="37" t="s">
        <v>1320</v>
      </c>
      <c r="C161" s="290">
        <f>C160*C159</f>
        <v>0</v>
      </c>
      <c r="D161" s="238" t="s">
        <v>62</v>
      </c>
      <c r="G161" s="263"/>
      <c r="H161" s="263"/>
      <c r="I161" s="263"/>
      <c r="J161" s="263"/>
      <c r="K161" s="263"/>
      <c r="L161" s="73"/>
    </row>
    <row r="162" spans="2:12" ht="13">
      <c r="B162" s="37" t="s">
        <v>226</v>
      </c>
      <c r="C162" s="313">
        <f>Growth_media_thickness</f>
        <v>0.15</v>
      </c>
      <c r="D162" s="238" t="s">
        <v>227</v>
      </c>
      <c r="G162" s="263"/>
      <c r="H162" s="263"/>
      <c r="I162" s="263"/>
      <c r="J162" s="263"/>
      <c r="K162" s="263"/>
      <c r="L162" s="70"/>
    </row>
    <row r="163" spans="2:12" ht="13">
      <c r="B163" s="37" t="s">
        <v>228</v>
      </c>
      <c r="C163" s="67"/>
      <c r="D163" s="238" t="s">
        <v>227</v>
      </c>
      <c r="G163" s="288" t="s">
        <v>229</v>
      </c>
      <c r="H163" s="263"/>
      <c r="I163" s="263"/>
      <c r="J163" s="263"/>
      <c r="K163" s="263"/>
      <c r="L163" s="73"/>
    </row>
    <row r="164" spans="2:12" ht="13">
      <c r="B164" s="14" t="s">
        <v>230</v>
      </c>
      <c r="C164" s="299">
        <f>C161*Square_metres_in_hectare*IF(C163=0,C162,C163)</f>
        <v>0</v>
      </c>
      <c r="D164" s="238" t="s">
        <v>231</v>
      </c>
      <c r="G164" s="263"/>
      <c r="H164" s="263"/>
      <c r="I164" s="263"/>
      <c r="J164" s="263"/>
      <c r="K164" s="263"/>
      <c r="L164" s="70"/>
    </row>
    <row r="165" spans="2:12" ht="13">
      <c r="B165" s="14" t="s">
        <v>232</v>
      </c>
      <c r="C165" s="108"/>
      <c r="G165" s="263"/>
      <c r="H165" s="263"/>
      <c r="I165" s="263"/>
      <c r="J165" s="263"/>
      <c r="K165" s="263"/>
      <c r="L165" s="73"/>
    </row>
    <row r="166" spans="2:12" ht="25">
      <c r="B166" s="14" t="s">
        <v>233</v>
      </c>
      <c r="C166" s="313">
        <f>C164*C165</f>
        <v>0</v>
      </c>
      <c r="D166" s="238" t="s">
        <v>231</v>
      </c>
      <c r="E166" s="70" t="s">
        <v>1303</v>
      </c>
      <c r="G166" s="47">
        <f>_xlfn.XLOOKUP(E166,Load_haul_dump_growth_media_onsite_names_UR,Load_haul_dump_growth_media_onsite_rates_UR)</f>
        <v>4.2830141305192262</v>
      </c>
      <c r="H166" s="72"/>
      <c r="I166" s="48">
        <f>IF(H166="",G166,H166)</f>
        <v>4.2830141305192262</v>
      </c>
      <c r="J166" s="238" t="s">
        <v>231</v>
      </c>
      <c r="K166" s="45">
        <f>I166*C166</f>
        <v>0</v>
      </c>
      <c r="L166" s="70"/>
    </row>
    <row r="167" spans="2:12" ht="13">
      <c r="B167" s="14" t="s">
        <v>234</v>
      </c>
      <c r="C167" s="313">
        <f>C164-C166</f>
        <v>0</v>
      </c>
      <c r="D167" s="238" t="s">
        <v>231</v>
      </c>
      <c r="G167" s="47">
        <f>Top_soil_rate</f>
        <v>165</v>
      </c>
      <c r="H167" s="72"/>
      <c r="I167" s="48">
        <f>IF(H167="",G167,H167)</f>
        <v>165</v>
      </c>
      <c r="J167" s="238" t="s">
        <v>231</v>
      </c>
      <c r="K167" s="45">
        <f>I167*C167</f>
        <v>0</v>
      </c>
      <c r="L167" s="73"/>
    </row>
    <row r="168" spans="2:12" ht="13">
      <c r="B168" s="14" t="s">
        <v>235</v>
      </c>
      <c r="C168" s="313">
        <f>C167*_xlfn.XLOOKUP(E168,Load_haul_dump_soil_ameliorants_from_off_site_names_UR,Load_haul_dump_growth_media_distance_avg)</f>
        <v>0</v>
      </c>
      <c r="D168" s="257" t="s">
        <v>1120</v>
      </c>
      <c r="E168" s="77" t="s">
        <v>236</v>
      </c>
      <c r="G168" s="47">
        <f>_xlfn.XLOOKUP(E168,Load_haul_dump_soil_ameliorants_from_off_site_names_UR,Load_haul_dump_soil_ameliorants_from_off_site_rates_UR)</f>
        <v>0.17003460207612459</v>
      </c>
      <c r="H168" s="72"/>
      <c r="I168" s="48">
        <f>IF(H168="",G168,H168)</f>
        <v>0.17003460207612459</v>
      </c>
      <c r="J168" s="238" t="s">
        <v>231</v>
      </c>
      <c r="K168" s="45">
        <f>I168*C168</f>
        <v>0</v>
      </c>
      <c r="L168" s="70"/>
    </row>
    <row r="169" spans="2:12">
      <c r="C169" s="286"/>
      <c r="L169" s="73"/>
    </row>
    <row r="170" spans="2:12" ht="13">
      <c r="B170" s="220" t="str">
        <f>B$24</f>
        <v>Totals</v>
      </c>
      <c r="C170" s="313">
        <f>C161</f>
        <v>0</v>
      </c>
      <c r="D170" s="238" t="s">
        <v>62</v>
      </c>
      <c r="H170" s="265" t="s">
        <v>237</v>
      </c>
      <c r="I170" s="39">
        <f>IF(C170=0,0,K170/C170)</f>
        <v>0</v>
      </c>
      <c r="J170" s="266" t="s">
        <v>249</v>
      </c>
      <c r="K170" s="99">
        <f>SUM(K154:K169)</f>
        <v>0</v>
      </c>
      <c r="L170" s="70"/>
    </row>
    <row r="171" spans="2:12">
      <c r="C171" s="284"/>
      <c r="L171" s="73"/>
    </row>
    <row r="172" spans="2:12" ht="13">
      <c r="B172" s="217" t="s">
        <v>238</v>
      </c>
      <c r="C172" s="217"/>
      <c r="D172" s="217"/>
      <c r="E172" s="217"/>
      <c r="F172" s="217"/>
      <c r="G172" s="217"/>
      <c r="H172" s="217"/>
      <c r="I172" s="217"/>
      <c r="J172" s="217"/>
      <c r="K172" s="217"/>
      <c r="L172" s="217"/>
    </row>
    <row r="173" spans="2:12" ht="13">
      <c r="B173" s="261" t="s">
        <v>71</v>
      </c>
      <c r="C173" s="262" t="s">
        <v>72</v>
      </c>
      <c r="D173" s="262" t="s">
        <v>51</v>
      </c>
      <c r="E173" s="264" t="s">
        <v>83</v>
      </c>
      <c r="F173" s="264"/>
      <c r="G173" s="263" t="s">
        <v>50</v>
      </c>
      <c r="H173" s="263" t="s">
        <v>73</v>
      </c>
      <c r="I173" s="263" t="s">
        <v>74</v>
      </c>
      <c r="J173" s="263" t="s">
        <v>75</v>
      </c>
      <c r="K173" s="263" t="s">
        <v>76</v>
      </c>
      <c r="L173" s="70"/>
    </row>
    <row r="174" spans="2:12" ht="13">
      <c r="B174" s="37" t="s">
        <v>219</v>
      </c>
      <c r="C174" s="67"/>
      <c r="D174" s="238" t="s">
        <v>62</v>
      </c>
      <c r="G174" s="288"/>
      <c r="H174" s="263"/>
      <c r="I174" s="263"/>
      <c r="J174" s="263"/>
      <c r="K174" s="263"/>
      <c r="L174" s="73"/>
    </row>
    <row r="175" spans="2:12" ht="13">
      <c r="B175" s="37" t="s">
        <v>220</v>
      </c>
      <c r="C175" s="67"/>
      <c r="D175" s="238" t="s">
        <v>62</v>
      </c>
      <c r="G175" s="288"/>
      <c r="H175" s="263"/>
      <c r="I175" s="263"/>
      <c r="J175" s="263"/>
      <c r="K175" s="263"/>
      <c r="L175" s="73"/>
    </row>
    <row r="176" spans="2:12" ht="13">
      <c r="B176" s="37" t="s">
        <v>221</v>
      </c>
      <c r="C176" s="67"/>
      <c r="D176" s="238" t="s">
        <v>62</v>
      </c>
      <c r="G176" s="288"/>
      <c r="H176" s="263"/>
      <c r="I176" s="263"/>
      <c r="J176" s="263"/>
      <c r="K176" s="263"/>
      <c r="L176" s="73"/>
    </row>
    <row r="177" spans="2:12" ht="13">
      <c r="B177" s="37" t="s">
        <v>222</v>
      </c>
      <c r="C177" s="67"/>
      <c r="D177" s="238" t="s">
        <v>62</v>
      </c>
      <c r="G177" s="288"/>
      <c r="H177" s="263"/>
      <c r="I177" s="263"/>
      <c r="J177" s="263"/>
      <c r="K177" s="263"/>
      <c r="L177" s="73"/>
    </row>
    <row r="178" spans="2:12" ht="13">
      <c r="B178" s="37" t="s">
        <v>223</v>
      </c>
      <c r="C178" s="67"/>
      <c r="D178" s="238" t="s">
        <v>62</v>
      </c>
      <c r="G178" s="288"/>
      <c r="H178" s="263"/>
      <c r="I178" s="263"/>
      <c r="J178" s="263"/>
      <c r="K178" s="263"/>
      <c r="L178" s="73"/>
    </row>
    <row r="179" spans="2:12" ht="13">
      <c r="B179" s="37" t="s">
        <v>224</v>
      </c>
      <c r="C179" s="338">
        <f>SUM(C174:C178)</f>
        <v>0</v>
      </c>
      <c r="D179" s="238" t="s">
        <v>62</v>
      </c>
      <c r="G179" s="262"/>
      <c r="H179" s="263"/>
      <c r="I179" s="263"/>
      <c r="J179" s="263"/>
      <c r="K179" s="263"/>
      <c r="L179" s="73"/>
    </row>
    <row r="180" spans="2:12" ht="13">
      <c r="B180" s="14" t="s">
        <v>239</v>
      </c>
      <c r="C180" s="108">
        <v>1</v>
      </c>
      <c r="D180" s="262"/>
      <c r="F180" s="263"/>
      <c r="G180" s="262"/>
      <c r="H180" s="263"/>
      <c r="I180" s="263"/>
      <c r="J180" s="263"/>
      <c r="K180" s="263"/>
      <c r="L180" s="70"/>
    </row>
    <row r="181" spans="2:12" ht="13">
      <c r="B181" s="14" t="s">
        <v>240</v>
      </c>
      <c r="C181" s="289">
        <f>C180*C179</f>
        <v>0</v>
      </c>
      <c r="D181" s="238" t="s">
        <v>62</v>
      </c>
      <c r="F181" s="263"/>
      <c r="G181" s="262"/>
      <c r="H181" s="263"/>
      <c r="I181" s="263"/>
      <c r="J181" s="263"/>
      <c r="K181" s="263"/>
      <c r="L181" s="73"/>
    </row>
    <row r="182" spans="2:12" ht="13">
      <c r="B182" s="14" t="s">
        <v>1003</v>
      </c>
      <c r="C182" s="299">
        <f>_xlfn.XLOOKUP(E183,Ameliorants_soil_names_As,Ameliorants_app_rate)</f>
        <v>2</v>
      </c>
      <c r="D182" s="238" t="s">
        <v>241</v>
      </c>
      <c r="F182" s="263"/>
      <c r="G182" s="288" t="s">
        <v>229</v>
      </c>
      <c r="H182" s="263"/>
      <c r="I182" s="263"/>
      <c r="J182" s="263"/>
      <c r="K182" s="263"/>
      <c r="L182" s="70"/>
    </row>
    <row r="183" spans="2:12" ht="13">
      <c r="B183" s="14" t="s">
        <v>242</v>
      </c>
      <c r="C183" s="299">
        <f>C182*C181</f>
        <v>0</v>
      </c>
      <c r="D183" s="238" t="s">
        <v>243</v>
      </c>
      <c r="E183" s="77" t="s">
        <v>244</v>
      </c>
      <c r="F183" s="263"/>
      <c r="G183" s="47">
        <f>_xlfn.XLOOKUP(E183,Ameliorants_names,Ameliorants_rates)</f>
        <v>123</v>
      </c>
      <c r="H183" s="72"/>
      <c r="I183" s="48">
        <f>IF(H183="",G183,H183)</f>
        <v>123</v>
      </c>
      <c r="J183" s="238" t="s">
        <v>243</v>
      </c>
      <c r="K183" s="45">
        <f>I183*C183</f>
        <v>0</v>
      </c>
      <c r="L183" s="70"/>
    </row>
    <row r="184" spans="2:12" ht="13">
      <c r="B184" s="14" t="s">
        <v>245</v>
      </c>
      <c r="C184" s="313">
        <f>C183/Soil_density*_xlfn.XLOOKUP(E184,Load_haul_dump_soil_ameliorants_from_off_site_names_UR,Load_haul_dump_growth_media_distance_avg)</f>
        <v>0</v>
      </c>
      <c r="D184" s="238" t="s">
        <v>1120</v>
      </c>
      <c r="E184" s="77" t="s">
        <v>246</v>
      </c>
      <c r="F184" s="263"/>
      <c r="G184" s="47">
        <f>_xlfn.XLOOKUP(E184,Load_haul_dump_soil_ameliorants_from_off_site_names_UR,Load_haul_dump_soil_ameliorants_from_off_site_rates_UR)</f>
        <v>0.11200692041522493</v>
      </c>
      <c r="H184" s="72"/>
      <c r="I184" s="48">
        <f>IF(H184="",G184,H184)</f>
        <v>0.11200692041522493</v>
      </c>
      <c r="J184" s="238" t="s">
        <v>231</v>
      </c>
      <c r="K184" s="45">
        <f>I184*C184</f>
        <v>0</v>
      </c>
      <c r="L184" s="73"/>
    </row>
    <row r="185" spans="2:12" ht="13">
      <c r="B185" s="14" t="s">
        <v>247</v>
      </c>
      <c r="C185" s="299">
        <f>C179</f>
        <v>0</v>
      </c>
      <c r="D185" s="238" t="s">
        <v>62</v>
      </c>
      <c r="F185" s="263"/>
      <c r="G185" s="38">
        <f>_xlfn.XLOOKUP(E183,Ameliorants_names,Ameliorants_rates_UR)</f>
        <v>1494.3985650219167</v>
      </c>
      <c r="H185" s="72"/>
      <c r="I185" s="48">
        <f>IF(H185="",G185,H185)</f>
        <v>1494.3985650219167</v>
      </c>
      <c r="J185" s="238" t="s">
        <v>62</v>
      </c>
      <c r="K185" s="45">
        <f>I185*C185</f>
        <v>0</v>
      </c>
      <c r="L185" s="70"/>
    </row>
    <row r="186" spans="2:12" ht="13">
      <c r="B186" s="214"/>
      <c r="C186" s="336"/>
      <c r="F186" s="263"/>
      <c r="L186" s="73"/>
    </row>
    <row r="187" spans="2:12" ht="13">
      <c r="B187" s="220" t="str">
        <f>B$24</f>
        <v>Totals</v>
      </c>
      <c r="C187" s="339">
        <f>C181</f>
        <v>0</v>
      </c>
      <c r="D187" s="238" t="s">
        <v>62</v>
      </c>
      <c r="F187" s="263"/>
      <c r="H187" s="265" t="s">
        <v>248</v>
      </c>
      <c r="I187" s="39">
        <f>IF(C187=0,0,K187/C187)</f>
        <v>0</v>
      </c>
      <c r="J187" s="266" t="s">
        <v>249</v>
      </c>
      <c r="K187" s="99">
        <f>SUM(K173:K186)</f>
        <v>0</v>
      </c>
      <c r="L187" s="70"/>
    </row>
    <row r="188" spans="2:12" ht="13">
      <c r="B188" s="214"/>
      <c r="C188" s="214"/>
      <c r="F188" s="263"/>
      <c r="H188" s="265"/>
      <c r="I188" s="54"/>
      <c r="K188" s="214"/>
      <c r="L188" s="73"/>
    </row>
    <row r="189" spans="2:12" ht="13">
      <c r="B189" s="217" t="s">
        <v>250</v>
      </c>
      <c r="C189" s="217"/>
      <c r="D189" s="217"/>
      <c r="E189" s="217"/>
      <c r="F189" s="217"/>
      <c r="G189" s="217"/>
      <c r="H189" s="217"/>
      <c r="I189" s="217"/>
      <c r="J189" s="217"/>
      <c r="K189" s="217"/>
      <c r="L189" s="217"/>
    </row>
    <row r="190" spans="2:12" ht="13">
      <c r="B190" s="261" t="s">
        <v>71</v>
      </c>
      <c r="C190" s="262" t="s">
        <v>72</v>
      </c>
      <c r="D190" s="262" t="s">
        <v>51</v>
      </c>
      <c r="E190" s="264" t="s">
        <v>83</v>
      </c>
      <c r="F190" s="264"/>
      <c r="G190" s="263" t="s">
        <v>50</v>
      </c>
      <c r="H190" s="263" t="s">
        <v>73</v>
      </c>
      <c r="I190" s="263" t="s">
        <v>74</v>
      </c>
      <c r="J190" s="263" t="s">
        <v>75</v>
      </c>
      <c r="K190" s="263" t="s">
        <v>76</v>
      </c>
      <c r="L190" s="70"/>
    </row>
    <row r="191" spans="2:12" ht="13">
      <c r="B191" s="37" t="s">
        <v>219</v>
      </c>
      <c r="C191" s="67"/>
      <c r="D191" s="238" t="s">
        <v>62</v>
      </c>
      <c r="G191" s="288"/>
      <c r="H191" s="263"/>
      <c r="I191" s="263"/>
      <c r="J191" s="263"/>
      <c r="K191" s="263"/>
      <c r="L191" s="73"/>
    </row>
    <row r="192" spans="2:12" ht="13">
      <c r="B192" s="37" t="s">
        <v>220</v>
      </c>
      <c r="C192" s="67"/>
      <c r="D192" s="238" t="s">
        <v>62</v>
      </c>
      <c r="G192" s="288"/>
      <c r="H192" s="263"/>
      <c r="I192" s="263"/>
      <c r="J192" s="263"/>
      <c r="K192" s="263"/>
      <c r="L192" s="73"/>
    </row>
    <row r="193" spans="2:12" ht="13">
      <c r="B193" s="37" t="s">
        <v>221</v>
      </c>
      <c r="C193" s="67"/>
      <c r="D193" s="238" t="s">
        <v>62</v>
      </c>
      <c r="G193" s="288"/>
      <c r="H193" s="263"/>
      <c r="I193" s="263"/>
      <c r="J193" s="263"/>
      <c r="K193" s="263"/>
      <c r="L193" s="73"/>
    </row>
    <row r="194" spans="2:12" ht="13">
      <c r="B194" s="37" t="s">
        <v>222</v>
      </c>
      <c r="C194" s="67"/>
      <c r="D194" s="238" t="s">
        <v>62</v>
      </c>
      <c r="G194" s="288"/>
      <c r="H194" s="263"/>
      <c r="I194" s="263"/>
      <c r="J194" s="263"/>
      <c r="K194" s="263"/>
      <c r="L194" s="73"/>
    </row>
    <row r="195" spans="2:12" ht="13">
      <c r="B195" s="37" t="s">
        <v>223</v>
      </c>
      <c r="C195" s="67"/>
      <c r="D195" s="238" t="s">
        <v>62</v>
      </c>
      <c r="G195" s="288"/>
      <c r="H195" s="263"/>
      <c r="I195" s="263"/>
      <c r="J195" s="263"/>
      <c r="K195" s="263"/>
      <c r="L195" s="73"/>
    </row>
    <row r="196" spans="2:12" ht="13">
      <c r="B196" s="37" t="s">
        <v>224</v>
      </c>
      <c r="C196" s="338">
        <f>SUM(C191:C195)</f>
        <v>0</v>
      </c>
      <c r="D196" s="238" t="s">
        <v>62</v>
      </c>
      <c r="L196" s="73"/>
    </row>
    <row r="197" spans="2:12">
      <c r="B197" s="14" t="s">
        <v>251</v>
      </c>
      <c r="C197" s="108">
        <v>1</v>
      </c>
      <c r="L197" s="70"/>
    </row>
    <row r="198" spans="2:12" ht="13">
      <c r="B198" s="14" t="s">
        <v>252</v>
      </c>
      <c r="C198" s="289">
        <f>C197*C196</f>
        <v>0</v>
      </c>
      <c r="D198" s="238" t="s">
        <v>62</v>
      </c>
      <c r="E198" s="70" t="s">
        <v>253</v>
      </c>
      <c r="G198" s="38">
        <f>_xlfn.XLOOKUP(E198,Revegetation_names_UR,Revegetation_rates_UR)</f>
        <v>3009.8329628478778</v>
      </c>
      <c r="H198" s="72"/>
      <c r="I198" s="48">
        <f>IF(H198="",G198,H198)</f>
        <v>3009.8329628478778</v>
      </c>
      <c r="J198" s="238" t="s">
        <v>62</v>
      </c>
      <c r="K198" s="45">
        <f>I198*C198</f>
        <v>0</v>
      </c>
      <c r="L198" s="73"/>
    </row>
    <row r="199" spans="2:12">
      <c r="B199" s="214"/>
      <c r="C199" s="336"/>
      <c r="L199" s="70"/>
    </row>
    <row r="200" spans="2:12" ht="13">
      <c r="B200" s="220" t="str">
        <f>B$24</f>
        <v>Totals</v>
      </c>
      <c r="C200" s="339">
        <f>C198</f>
        <v>0</v>
      </c>
      <c r="D200" s="238" t="s">
        <v>62</v>
      </c>
      <c r="G200" s="257"/>
      <c r="H200" s="275" t="s">
        <v>254</v>
      </c>
      <c r="I200" s="39">
        <f>IF(C200=0,0,K200/C200)</f>
        <v>0</v>
      </c>
      <c r="J200" s="266" t="s">
        <v>249</v>
      </c>
      <c r="K200" s="99">
        <f>SUM(K190:K199)</f>
        <v>0</v>
      </c>
      <c r="L200" s="73"/>
    </row>
    <row r="201" spans="2:12">
      <c r="C201" s="337"/>
      <c r="L201" s="70"/>
    </row>
    <row r="202" spans="2:12" ht="13">
      <c r="B202" s="217" t="s">
        <v>453</v>
      </c>
      <c r="C202" s="217"/>
      <c r="D202" s="217"/>
      <c r="E202" s="217"/>
      <c r="F202" s="217"/>
      <c r="G202" s="217"/>
      <c r="H202" s="217"/>
      <c r="I202" s="217"/>
      <c r="J202" s="217"/>
      <c r="K202" s="217"/>
      <c r="L202" s="217"/>
    </row>
    <row r="203" spans="2:12" s="214" customFormat="1" ht="13">
      <c r="B203" s="261" t="s">
        <v>71</v>
      </c>
      <c r="C203" s="262" t="s">
        <v>72</v>
      </c>
      <c r="D203" s="262" t="s">
        <v>51</v>
      </c>
      <c r="E203" s="264" t="s">
        <v>83</v>
      </c>
      <c r="F203" s="264"/>
      <c r="G203" s="263" t="s">
        <v>50</v>
      </c>
      <c r="H203" s="263" t="s">
        <v>73</v>
      </c>
      <c r="I203" s="263" t="s">
        <v>74</v>
      </c>
      <c r="J203" s="263" t="s">
        <v>75</v>
      </c>
      <c r="K203" s="263" t="s">
        <v>76</v>
      </c>
      <c r="L203" s="70"/>
    </row>
    <row r="204" spans="2:12">
      <c r="B204" s="37" t="s">
        <v>454</v>
      </c>
      <c r="C204" s="279">
        <f>C$15</f>
        <v>0</v>
      </c>
      <c r="D204" s="238" t="s">
        <v>445</v>
      </c>
      <c r="E204" s="334" t="str">
        <f>C$14</f>
        <v>Select make and model</v>
      </c>
      <c r="L204" s="73"/>
    </row>
    <row r="205" spans="2:12">
      <c r="B205" s="14" t="s">
        <v>256</v>
      </c>
      <c r="C205" s="65">
        <f>_xlfn.XLOOKUP(E206,Long_haul_names_modules_UR,Load_haul_dump_modules_distance_avg)</f>
        <v>27.5</v>
      </c>
      <c r="D205" s="238" t="s">
        <v>86</v>
      </c>
      <c r="L205" s="73"/>
    </row>
    <row r="206" spans="2:12" ht="13">
      <c r="B206" s="14" t="s">
        <v>257</v>
      </c>
      <c r="C206" s="333">
        <f>C205*C204</f>
        <v>0</v>
      </c>
      <c r="D206" s="238" t="s">
        <v>447</v>
      </c>
      <c r="E206" s="77" t="s">
        <v>1101</v>
      </c>
      <c r="G206" s="47">
        <f>_xlfn.XLOOKUP(E206,Long_haul_names_modules_UR,Long_haul_rates_modules_UR)</f>
        <v>100.84336793540946</v>
      </c>
      <c r="H206" s="72"/>
      <c r="I206" s="48">
        <f>IF(H206="",G206,H206)</f>
        <v>100.84336793540946</v>
      </c>
      <c r="J206" s="238" t="s">
        <v>447</v>
      </c>
      <c r="K206" s="45">
        <f>I206*C206</f>
        <v>0</v>
      </c>
      <c r="L206" s="73"/>
    </row>
    <row r="207" spans="2:12" ht="13">
      <c r="B207" s="56" t="s">
        <v>1006</v>
      </c>
      <c r="C207" s="69"/>
      <c r="D207" s="238" t="s">
        <v>445</v>
      </c>
      <c r="E207" s="80" t="s">
        <v>1070</v>
      </c>
      <c r="G207" s="106">
        <f>_xlfn.XLOOKUP(E207,Rates!B134:B135,Rates!D134:D135)</f>
        <v>100</v>
      </c>
      <c r="H207" s="72"/>
      <c r="I207" s="48">
        <f>IF(H207="",G207,H207)</f>
        <v>100</v>
      </c>
      <c r="J207" s="238" t="s">
        <v>243</v>
      </c>
      <c r="K207" s="45">
        <f>I207*C207</f>
        <v>0</v>
      </c>
      <c r="L207" s="73"/>
    </row>
    <row r="208" spans="2:12">
      <c r="C208" s="286"/>
      <c r="L208" s="73"/>
    </row>
    <row r="209" spans="2:12" ht="13">
      <c r="B209" s="220" t="str">
        <f>B$24</f>
        <v>Totals</v>
      </c>
      <c r="C209" s="340">
        <f>C204</f>
        <v>0</v>
      </c>
      <c r="D209" s="238" t="s">
        <v>438</v>
      </c>
      <c r="G209" s="257"/>
      <c r="H209" s="275" t="s">
        <v>456</v>
      </c>
      <c r="I209" s="48">
        <f>IF(C209=0,0,K209/C209)</f>
        <v>0</v>
      </c>
      <c r="J209" s="266" t="s">
        <v>452</v>
      </c>
      <c r="K209" s="99">
        <f>SUM(K203:K208)</f>
        <v>0</v>
      </c>
      <c r="L209" s="70"/>
    </row>
    <row r="210" spans="2:12">
      <c r="L210" s="70"/>
    </row>
    <row r="211" spans="2:12" ht="13">
      <c r="B211" s="217" t="s">
        <v>1047</v>
      </c>
      <c r="C211" s="217"/>
      <c r="D211" s="217"/>
      <c r="E211" s="217"/>
      <c r="F211" s="217"/>
      <c r="G211" s="217"/>
      <c r="H211" s="217"/>
      <c r="I211" s="217"/>
      <c r="J211" s="217"/>
      <c r="K211" s="217"/>
      <c r="L211" s="217"/>
    </row>
    <row r="212" spans="2:12" s="214" customFormat="1" ht="13">
      <c r="B212" s="261" t="s">
        <v>71</v>
      </c>
      <c r="C212" s="262" t="s">
        <v>72</v>
      </c>
      <c r="D212" s="262" t="s">
        <v>51</v>
      </c>
      <c r="E212" s="264" t="s">
        <v>83</v>
      </c>
      <c r="F212" s="264"/>
      <c r="G212" s="263" t="s">
        <v>50</v>
      </c>
      <c r="H212" s="263" t="s">
        <v>73</v>
      </c>
      <c r="I212" s="263" t="s">
        <v>74</v>
      </c>
      <c r="J212" s="263" t="s">
        <v>75</v>
      </c>
      <c r="K212" s="263" t="s">
        <v>76</v>
      </c>
      <c r="L212" s="70"/>
    </row>
    <row r="213" spans="2:12">
      <c r="B213" s="37" t="s">
        <v>454</v>
      </c>
      <c r="C213" s="279">
        <f>C$15</f>
        <v>0</v>
      </c>
      <c r="D213" s="238" t="s">
        <v>445</v>
      </c>
      <c r="E213" s="334" t="str">
        <f>C$14</f>
        <v>Select make and model</v>
      </c>
      <c r="L213" s="73"/>
    </row>
    <row r="214" spans="2:12">
      <c r="B214" s="14" t="s">
        <v>256</v>
      </c>
      <c r="C214" s="65">
        <f>_xlfn.XLOOKUP(E215,Long_haul_names_modules_UR,Load_haul_dump_modules_distance_avg)</f>
        <v>7.5</v>
      </c>
      <c r="D214" s="238" t="s">
        <v>86</v>
      </c>
      <c r="L214" s="73"/>
    </row>
    <row r="215" spans="2:12" ht="13">
      <c r="B215" s="14" t="s">
        <v>257</v>
      </c>
      <c r="C215" s="333">
        <f>C214*C213</f>
        <v>0</v>
      </c>
      <c r="D215" s="238" t="s">
        <v>447</v>
      </c>
      <c r="E215" s="77" t="s">
        <v>455</v>
      </c>
      <c r="G215" s="47">
        <f>_xlfn.XLOOKUP(E215,Long_haul_names_modules_UR,Long_haul_rates_modules_UR)</f>
        <v>412.29527104959635</v>
      </c>
      <c r="H215" s="72"/>
      <c r="I215" s="48">
        <f>IF(H215="",G215,H215)</f>
        <v>412.29527104959635</v>
      </c>
      <c r="J215" s="238" t="s">
        <v>447</v>
      </c>
      <c r="K215" s="45">
        <f>I215*C215</f>
        <v>0</v>
      </c>
      <c r="L215" s="73"/>
    </row>
    <row r="216" spans="2:12" ht="13">
      <c r="B216" s="56" t="s">
        <v>259</v>
      </c>
      <c r="C216" s="313">
        <f>(_xlfn.XLOOKUP(E213,BESS_models,BESS_mass)*C213)</f>
        <v>0</v>
      </c>
      <c r="D216" s="238" t="s">
        <v>243</v>
      </c>
      <c r="E216" s="80" t="s">
        <v>457</v>
      </c>
      <c r="G216" s="106">
        <f>_xlfn.XLOOKUP(E216,Rates!B134:B135,Rates!D134:D135)</f>
        <v>0</v>
      </c>
      <c r="H216" s="72"/>
      <c r="I216" s="48">
        <f>IF(H216="",G216,H216)</f>
        <v>0</v>
      </c>
      <c r="J216" s="238" t="s">
        <v>243</v>
      </c>
      <c r="K216" s="45">
        <f>I216*C216</f>
        <v>0</v>
      </c>
      <c r="L216" s="73"/>
    </row>
    <row r="217" spans="2:12" ht="13">
      <c r="B217" s="56" t="s">
        <v>261</v>
      </c>
      <c r="C217" s="313">
        <f>(_xlfn.XLOOKUP(E213,BESS_models,BESS_mass)*C213)</f>
        <v>0</v>
      </c>
      <c r="D217" s="238" t="s">
        <v>243</v>
      </c>
      <c r="E217" s="77" t="s">
        <v>262</v>
      </c>
      <c r="G217" s="106">
        <f>_xlfn.XLOOKUP(E217,Waste_levy_names,Waste_levy_rates)</f>
        <v>83</v>
      </c>
      <c r="H217" s="72"/>
      <c r="I217" s="48">
        <f>IF(H217="",G217,H217)</f>
        <v>83</v>
      </c>
      <c r="J217" s="238" t="s">
        <v>243</v>
      </c>
      <c r="K217" s="45">
        <f>I217*C217</f>
        <v>0</v>
      </c>
      <c r="L217" s="70"/>
    </row>
    <row r="218" spans="2:12">
      <c r="C218" s="286"/>
      <c r="L218" s="73"/>
    </row>
    <row r="219" spans="2:12" ht="13">
      <c r="B219" s="220" t="str">
        <f>B$24</f>
        <v>Totals</v>
      </c>
      <c r="C219" s="340">
        <f>C213</f>
        <v>0</v>
      </c>
      <c r="D219" s="238" t="s">
        <v>438</v>
      </c>
      <c r="G219" s="257"/>
      <c r="H219" s="275" t="s">
        <v>458</v>
      </c>
      <c r="I219" s="48">
        <f>IF(C219=0,0,K219/C219)</f>
        <v>0</v>
      </c>
      <c r="J219" s="266" t="s">
        <v>452</v>
      </c>
      <c r="K219" s="99">
        <f>SUM(K212:K218)</f>
        <v>0</v>
      </c>
      <c r="L219" s="70"/>
    </row>
    <row r="220" spans="2:12">
      <c r="L220" s="70"/>
    </row>
    <row r="221" spans="2:12" ht="13">
      <c r="B221" s="217" t="s">
        <v>268</v>
      </c>
      <c r="C221" s="217"/>
      <c r="D221" s="217"/>
      <c r="E221" s="217"/>
      <c r="F221" s="217"/>
      <c r="G221" s="217"/>
      <c r="H221" s="217"/>
      <c r="I221" s="217"/>
      <c r="J221" s="217"/>
      <c r="K221" s="217"/>
      <c r="L221" s="217"/>
    </row>
    <row r="222" spans="2:12" s="257" customFormat="1" ht="21" customHeight="1">
      <c r="B222" s="296" t="s">
        <v>71</v>
      </c>
      <c r="C222" s="297" t="s">
        <v>72</v>
      </c>
      <c r="D222" s="297" t="s">
        <v>51</v>
      </c>
      <c r="E222" s="297" t="s">
        <v>83</v>
      </c>
      <c r="F222" s="297"/>
      <c r="G222" s="298" t="s">
        <v>50</v>
      </c>
      <c r="H222" s="298" t="s">
        <v>73</v>
      </c>
      <c r="I222" s="298" t="s">
        <v>74</v>
      </c>
      <c r="J222" s="298" t="s">
        <v>75</v>
      </c>
      <c r="K222" s="298" t="s">
        <v>76</v>
      </c>
      <c r="L222" s="82"/>
    </row>
    <row r="223" spans="2:12" s="257" customFormat="1">
      <c r="B223" s="37" t="s">
        <v>269</v>
      </c>
      <c r="C223" s="67"/>
      <c r="D223" s="257" t="s">
        <v>203</v>
      </c>
      <c r="L223" s="82"/>
    </row>
    <row r="224" spans="2:12" s="257" customFormat="1">
      <c r="B224" s="37" t="s">
        <v>270</v>
      </c>
      <c r="C224" s="67"/>
      <c r="D224" s="257" t="s">
        <v>203</v>
      </c>
      <c r="L224" s="82"/>
    </row>
    <row r="225" spans="2:12" s="257" customFormat="1">
      <c r="B225" s="81" t="s">
        <v>1345</v>
      </c>
      <c r="C225" s="67"/>
      <c r="D225" s="257" t="s">
        <v>203</v>
      </c>
      <c r="L225" s="82"/>
    </row>
    <row r="226" spans="2:12" s="257" customFormat="1">
      <c r="B226" s="81" t="s">
        <v>1345</v>
      </c>
      <c r="C226" s="67"/>
      <c r="D226" s="257" t="s">
        <v>203</v>
      </c>
      <c r="L226" s="82"/>
    </row>
    <row r="227" spans="2:12" s="257" customFormat="1">
      <c r="B227" s="81" t="s">
        <v>1345</v>
      </c>
      <c r="C227" s="67"/>
      <c r="D227" s="257" t="s">
        <v>203</v>
      </c>
      <c r="L227" s="82"/>
    </row>
    <row r="228" spans="2:12" s="257" customFormat="1" ht="13">
      <c r="B228" s="37" t="s">
        <v>271</v>
      </c>
      <c r="C228" s="289">
        <f>SUM(C223:C227)</f>
        <v>0</v>
      </c>
      <c r="D228" s="257" t="s">
        <v>203</v>
      </c>
      <c r="L228" s="82"/>
    </row>
    <row r="229" spans="2:12" s="257" customFormat="1">
      <c r="B229" s="14" t="s">
        <v>226</v>
      </c>
      <c r="C229" s="299">
        <f>Concrete_default_thickness</f>
        <v>0.2</v>
      </c>
      <c r="D229" s="257" t="s">
        <v>227</v>
      </c>
      <c r="L229" s="82"/>
    </row>
    <row r="230" spans="2:12" s="257" customFormat="1" ht="13">
      <c r="B230" s="14" t="s">
        <v>228</v>
      </c>
      <c r="C230" s="67"/>
      <c r="D230" s="257" t="s">
        <v>227</v>
      </c>
      <c r="E230" s="300" t="s">
        <v>272</v>
      </c>
      <c r="L230" s="82"/>
    </row>
    <row r="231" spans="2:12" s="257" customFormat="1" ht="13">
      <c r="B231" s="14" t="s">
        <v>273</v>
      </c>
      <c r="C231" s="67"/>
      <c r="D231" s="257" t="s">
        <v>231</v>
      </c>
      <c r="E231" s="300" t="s">
        <v>274</v>
      </c>
      <c r="L231" s="82"/>
    </row>
    <row r="232" spans="2:12" s="257" customFormat="1">
      <c r="B232" s="14" t="s">
        <v>1346</v>
      </c>
      <c r="C232" s="293">
        <f>IF(C231=0,C228*IF(C230=0,C229,C230),C231)</f>
        <v>0</v>
      </c>
      <c r="D232" s="257" t="s">
        <v>231</v>
      </c>
      <c r="L232" s="82"/>
    </row>
    <row r="233" spans="2:12" s="257" customFormat="1" ht="25">
      <c r="B233" s="14" t="s">
        <v>1117</v>
      </c>
      <c r="C233" s="299">
        <f>C232</f>
        <v>0</v>
      </c>
      <c r="D233" s="257" t="s">
        <v>231</v>
      </c>
      <c r="E233" s="76" t="s">
        <v>1302</v>
      </c>
      <c r="G233" s="47">
        <f>_xlfn.XLOOKUP(E233,Load_haul_dump_concrete_onsite_names_UR,Load_haul_dump_concrete_onsite_rates_UR)</f>
        <v>3.7318636114880839</v>
      </c>
      <c r="H233" s="72"/>
      <c r="I233" s="48">
        <f>IF(H233="",G233,H233)</f>
        <v>3.7318636114880839</v>
      </c>
      <c r="J233" s="257" t="str">
        <f>D233</f>
        <v>m3</v>
      </c>
      <c r="K233" s="49">
        <f>I233*C233</f>
        <v>0</v>
      </c>
      <c r="L233" s="82"/>
    </row>
    <row r="234" spans="2:12" s="257" customFormat="1" ht="13">
      <c r="B234" s="14" t="s">
        <v>1116</v>
      </c>
      <c r="C234" s="299">
        <f>C232*Concrete_density</f>
        <v>0</v>
      </c>
      <c r="D234" s="257" t="s">
        <v>243</v>
      </c>
      <c r="E234" s="76" t="s">
        <v>459</v>
      </c>
      <c r="G234" s="47">
        <f>_xlfn.XLOOKUP(E234,Concrete_crush_names_UR,Concrete_crush_rates_UR)</f>
        <v>10.960642050537954</v>
      </c>
      <c r="H234" s="72"/>
      <c r="I234" s="48">
        <f>IF(H234="",G234,H234)</f>
        <v>10.960642050537954</v>
      </c>
      <c r="J234" s="257" t="str">
        <f>D234</f>
        <v>t</v>
      </c>
      <c r="K234" s="49">
        <f>I234*C234</f>
        <v>0</v>
      </c>
      <c r="L234" s="82"/>
    </row>
    <row r="235" spans="2:12" s="257" customFormat="1" ht="25">
      <c r="B235" s="14" t="s">
        <v>1118</v>
      </c>
      <c r="C235" s="299">
        <f>C232</f>
        <v>0</v>
      </c>
      <c r="D235" s="257" t="s">
        <v>231</v>
      </c>
      <c r="E235" s="76" t="s">
        <v>1302</v>
      </c>
      <c r="G235" s="47">
        <f>_xlfn.XLOOKUP(E235,Load_haul_dump_concrete_onsite_names_UR,Load_haul_dump_concrete_onsite_rates_UR)</f>
        <v>3.7318636114880839</v>
      </c>
      <c r="H235" s="72"/>
      <c r="I235" s="48">
        <f>IF(H235="",G235,H235)</f>
        <v>3.7318636114880839</v>
      </c>
      <c r="J235" s="257" t="str">
        <f>D235</f>
        <v>m3</v>
      </c>
      <c r="K235" s="49">
        <f>I235*C235</f>
        <v>0</v>
      </c>
      <c r="L235" s="82"/>
    </row>
    <row r="236" spans="2:12" s="257" customFormat="1">
      <c r="C236" s="329"/>
      <c r="L236" s="82"/>
    </row>
    <row r="237" spans="2:12" s="257" customFormat="1" ht="13">
      <c r="B237" s="220" t="str">
        <f>B$24</f>
        <v>Totals</v>
      </c>
      <c r="C237" s="313">
        <f>C232</f>
        <v>0</v>
      </c>
      <c r="D237" s="257" t="s">
        <v>231</v>
      </c>
      <c r="H237" s="275" t="s">
        <v>277</v>
      </c>
      <c r="I237" s="57">
        <f>IF(C237=0,0,K237/C237)</f>
        <v>0</v>
      </c>
      <c r="J237" s="276" t="s">
        <v>278</v>
      </c>
      <c r="K237" s="43">
        <f>SUM(K222:K236)</f>
        <v>0</v>
      </c>
      <c r="L237" s="82"/>
    </row>
    <row r="238" spans="2:12" s="257" customFormat="1" ht="13">
      <c r="I238" s="57">
        <f>I237/Concrete_density</f>
        <v>0</v>
      </c>
      <c r="J238" s="276" t="s">
        <v>243</v>
      </c>
      <c r="L238" s="82"/>
    </row>
    <row r="239" spans="2:12" s="257" customFormat="1">
      <c r="L239" s="82"/>
    </row>
    <row r="240" spans="2:12" ht="13">
      <c r="B240" s="217" t="s">
        <v>279</v>
      </c>
      <c r="C240" s="217"/>
      <c r="D240" s="217"/>
      <c r="E240" s="217"/>
      <c r="F240" s="217"/>
      <c r="G240" s="217"/>
      <c r="H240" s="217"/>
      <c r="I240" s="217"/>
      <c r="J240" s="217"/>
      <c r="K240" s="217"/>
      <c r="L240" s="217"/>
    </row>
    <row r="241" spans="2:12" s="214" customFormat="1" ht="13">
      <c r="B241" s="261" t="s">
        <v>71</v>
      </c>
      <c r="C241" s="262" t="s">
        <v>72</v>
      </c>
      <c r="D241" s="262" t="s">
        <v>51</v>
      </c>
      <c r="E241" s="264" t="s">
        <v>83</v>
      </c>
      <c r="F241" s="264"/>
      <c r="G241" s="263" t="s">
        <v>50</v>
      </c>
      <c r="H241" s="263" t="s">
        <v>73</v>
      </c>
      <c r="I241" s="263" t="s">
        <v>74</v>
      </c>
      <c r="J241" s="263" t="s">
        <v>75</v>
      </c>
      <c r="K241" s="263" t="s">
        <v>76</v>
      </c>
      <c r="L241" s="70"/>
    </row>
    <row r="242" spans="2:12">
      <c r="B242" s="37" t="s">
        <v>280</v>
      </c>
      <c r="C242" s="67"/>
      <c r="D242" s="238" t="s">
        <v>243</v>
      </c>
      <c r="L242" s="73"/>
    </row>
    <row r="243" spans="2:12">
      <c r="B243" s="14" t="s">
        <v>256</v>
      </c>
      <c r="C243" s="65">
        <f>_xlfn.XLOOKUP(E244,Long_haul_names_concrete_UR,Load_haul_dump_rubble_distance_avg)</f>
        <v>17.5</v>
      </c>
      <c r="D243" s="238" t="s">
        <v>86</v>
      </c>
      <c r="L243" s="73"/>
    </row>
    <row r="244" spans="2:12" ht="13">
      <c r="B244" s="14" t="s">
        <v>257</v>
      </c>
      <c r="C244" s="333">
        <f>C243*C242</f>
        <v>0</v>
      </c>
      <c r="D244" s="238" t="s">
        <v>99</v>
      </c>
      <c r="E244" s="77" t="s">
        <v>281</v>
      </c>
      <c r="G244" s="47">
        <f>_xlfn.XLOOKUP(E244,Long_haul_names_concrete_UR,Long_haul_rates_concrete_UR)</f>
        <v>8.5512328767123265</v>
      </c>
      <c r="H244" s="72"/>
      <c r="I244" s="48">
        <f>IF(H244="",G244,H244)</f>
        <v>8.5512328767123265</v>
      </c>
      <c r="J244" s="238" t="s">
        <v>99</v>
      </c>
      <c r="K244" s="45">
        <f>I244*C244</f>
        <v>0</v>
      </c>
      <c r="L244" s="73"/>
    </row>
    <row r="245" spans="2:12" ht="13">
      <c r="B245" s="56" t="s">
        <v>259</v>
      </c>
      <c r="C245" s="313">
        <f>C242</f>
        <v>0</v>
      </c>
      <c r="D245" s="238" t="s">
        <v>243</v>
      </c>
      <c r="E245" s="80" t="s">
        <v>282</v>
      </c>
      <c r="G245" s="106">
        <f>_xlfn.XLOOKUP(E245,Disposal_gate_fee_names,Disposal_gate_fee_rates)</f>
        <v>70</v>
      </c>
      <c r="H245" s="72"/>
      <c r="I245" s="48">
        <f>IF(H245="",G245,H245)</f>
        <v>70</v>
      </c>
      <c r="J245" s="238" t="s">
        <v>243</v>
      </c>
      <c r="K245" s="45">
        <f>I245*C245</f>
        <v>0</v>
      </c>
      <c r="L245" s="73"/>
    </row>
    <row r="246" spans="2:12" ht="13">
      <c r="B246" s="56" t="s">
        <v>261</v>
      </c>
      <c r="C246" s="313">
        <f>C242</f>
        <v>0</v>
      </c>
      <c r="D246" s="238" t="s">
        <v>243</v>
      </c>
      <c r="E246" s="77" t="s">
        <v>262</v>
      </c>
      <c r="G246" s="106">
        <f>_xlfn.XLOOKUP(E246,Waste_levy_names,Waste_levy_rates)</f>
        <v>83</v>
      </c>
      <c r="H246" s="72"/>
      <c r="I246" s="48">
        <f>IF(H246="",G246,H246)</f>
        <v>83</v>
      </c>
      <c r="J246" s="238" t="s">
        <v>243</v>
      </c>
      <c r="K246" s="45">
        <f>I246*C246</f>
        <v>0</v>
      </c>
      <c r="L246" s="70"/>
    </row>
    <row r="247" spans="2:12">
      <c r="C247" s="286"/>
      <c r="L247" s="73"/>
    </row>
    <row r="248" spans="2:12" ht="13">
      <c r="B248" s="220" t="str">
        <f>B$24</f>
        <v>Totals</v>
      </c>
      <c r="C248" s="339">
        <f>C242</f>
        <v>0</v>
      </c>
      <c r="D248" s="238" t="s">
        <v>243</v>
      </c>
      <c r="G248" s="257"/>
      <c r="H248" s="275" t="s">
        <v>283</v>
      </c>
      <c r="I248" s="39">
        <f>IF(C248=0,0,K248/C248)</f>
        <v>0</v>
      </c>
      <c r="J248" s="276" t="s">
        <v>417</v>
      </c>
      <c r="K248" s="99">
        <f>SUM(K241:K247)</f>
        <v>0</v>
      </c>
      <c r="L248" s="70"/>
    </row>
    <row r="249" spans="2:12">
      <c r="L249" s="70"/>
    </row>
    <row r="250" spans="2:12" ht="13">
      <c r="B250" s="217" t="s">
        <v>285</v>
      </c>
      <c r="C250" s="217"/>
      <c r="D250" s="217"/>
      <c r="E250" s="217"/>
      <c r="F250" s="217"/>
      <c r="G250" s="217"/>
      <c r="H250" s="217"/>
      <c r="I250" s="217"/>
      <c r="J250" s="217"/>
      <c r="K250" s="217"/>
      <c r="L250" s="217"/>
    </row>
    <row r="251" spans="2:12" s="214" customFormat="1" ht="13">
      <c r="B251" s="261" t="s">
        <v>71</v>
      </c>
      <c r="C251" s="262" t="s">
        <v>72</v>
      </c>
      <c r="D251" s="262" t="s">
        <v>51</v>
      </c>
      <c r="E251" s="264" t="s">
        <v>83</v>
      </c>
      <c r="F251" s="264"/>
      <c r="G251" s="263" t="s">
        <v>50</v>
      </c>
      <c r="H251" s="263" t="s">
        <v>73</v>
      </c>
      <c r="I251" s="263" t="s">
        <v>74</v>
      </c>
      <c r="J251" s="263" t="s">
        <v>75</v>
      </c>
      <c r="K251" s="263" t="s">
        <v>76</v>
      </c>
      <c r="L251" s="70"/>
    </row>
    <row r="252" spans="2:12">
      <c r="B252" s="37" t="s">
        <v>286</v>
      </c>
      <c r="C252" s="67"/>
      <c r="D252" s="238" t="s">
        <v>243</v>
      </c>
      <c r="L252" s="73"/>
    </row>
    <row r="253" spans="2:12">
      <c r="B253" s="14" t="s">
        <v>256</v>
      </c>
      <c r="C253" s="65">
        <f>_xlfn.XLOOKUP(E254,Long_haul_names_steel_UR,Load_haul_dump_steel_distance_avg)</f>
        <v>22.5</v>
      </c>
      <c r="D253" s="238" t="s">
        <v>86</v>
      </c>
      <c r="L253" s="73"/>
    </row>
    <row r="254" spans="2:12" ht="13">
      <c r="B254" s="14" t="s">
        <v>257</v>
      </c>
      <c r="C254" s="333">
        <f>C253*C252</f>
        <v>0</v>
      </c>
      <c r="D254" s="238" t="s">
        <v>99</v>
      </c>
      <c r="E254" s="77" t="s">
        <v>287</v>
      </c>
      <c r="G254" s="47">
        <f>_xlfn.XLOOKUP(E254,Long_haul_names_steel_UR,Long_haul_rates_steel_UR)</f>
        <v>0.17856380024776791</v>
      </c>
      <c r="H254" s="72"/>
      <c r="I254" s="48">
        <f>IF(H254="",G254,H254)</f>
        <v>0.17856380024776791</v>
      </c>
      <c r="J254" s="238" t="s">
        <v>99</v>
      </c>
      <c r="K254" s="45">
        <f>I254*C254</f>
        <v>0</v>
      </c>
      <c r="L254" s="73"/>
    </row>
    <row r="255" spans="2:12" ht="13">
      <c r="B255" s="56" t="s">
        <v>259</v>
      </c>
      <c r="C255" s="313">
        <f>C252</f>
        <v>0</v>
      </c>
      <c r="D255" s="238" t="s">
        <v>243</v>
      </c>
      <c r="E255" s="80" t="s">
        <v>288</v>
      </c>
      <c r="G255" s="106">
        <f>_xlfn.XLOOKUP(E255,Disposal_gate_fee_names,Disposal_gate_fee_rates)</f>
        <v>0</v>
      </c>
      <c r="H255" s="72"/>
      <c r="I255" s="48">
        <f>IF(H255="",G255,H255)</f>
        <v>0</v>
      </c>
      <c r="J255" s="238" t="s">
        <v>243</v>
      </c>
      <c r="K255" s="45">
        <f>I255*C255</f>
        <v>0</v>
      </c>
      <c r="L255" s="73"/>
    </row>
    <row r="256" spans="2:12" ht="13">
      <c r="B256" s="56" t="s">
        <v>261</v>
      </c>
      <c r="C256" s="313">
        <f>C252</f>
        <v>0</v>
      </c>
      <c r="D256" s="238" t="s">
        <v>243</v>
      </c>
      <c r="E256" s="77" t="s">
        <v>262</v>
      </c>
      <c r="G256" s="106">
        <f>_xlfn.XLOOKUP(E256,Waste_levy_names,Waste_levy_rates)</f>
        <v>83</v>
      </c>
      <c r="H256" s="72"/>
      <c r="I256" s="48">
        <f>IF(H256="",G256,H256)</f>
        <v>83</v>
      </c>
      <c r="J256" s="238" t="s">
        <v>243</v>
      </c>
      <c r="K256" s="45">
        <f>I256*C256</f>
        <v>0</v>
      </c>
      <c r="L256" s="73"/>
    </row>
    <row r="257" spans="2:12">
      <c r="C257" s="286"/>
      <c r="L257" s="73"/>
    </row>
    <row r="258" spans="2:12" ht="13">
      <c r="B258" s="220" t="str">
        <f>B$24</f>
        <v>Totals</v>
      </c>
      <c r="C258" s="339">
        <f>C252</f>
        <v>0</v>
      </c>
      <c r="D258" s="238" t="s">
        <v>243</v>
      </c>
      <c r="G258" s="257"/>
      <c r="H258" s="275" t="s">
        <v>289</v>
      </c>
      <c r="I258" s="39">
        <f>IF(C258=0,0,K258/C258)</f>
        <v>0</v>
      </c>
      <c r="J258" s="276" t="s">
        <v>407</v>
      </c>
      <c r="K258" s="99">
        <f>SUM(K251:K257)</f>
        <v>0</v>
      </c>
      <c r="L258" s="70"/>
    </row>
    <row r="259" spans="2:12">
      <c r="L259" s="70"/>
    </row>
    <row r="260" spans="2:12" ht="13">
      <c r="B260" s="217" t="s">
        <v>290</v>
      </c>
      <c r="C260" s="217"/>
      <c r="D260" s="217"/>
      <c r="E260" s="217"/>
      <c r="F260" s="217"/>
      <c r="G260" s="217"/>
      <c r="H260" s="217"/>
      <c r="I260" s="217"/>
      <c r="J260" s="217"/>
      <c r="K260" s="217"/>
      <c r="L260" s="217"/>
    </row>
    <row r="261" spans="2:12" s="214" customFormat="1" ht="13">
      <c r="B261" s="261" t="s">
        <v>71</v>
      </c>
      <c r="C261" s="262" t="s">
        <v>72</v>
      </c>
      <c r="D261" s="262" t="s">
        <v>51</v>
      </c>
      <c r="E261" s="264" t="s">
        <v>83</v>
      </c>
      <c r="F261" s="264"/>
      <c r="G261" s="263" t="s">
        <v>50</v>
      </c>
      <c r="H261" s="263" t="s">
        <v>73</v>
      </c>
      <c r="I261" s="263" t="s">
        <v>74</v>
      </c>
      <c r="J261" s="263" t="s">
        <v>75</v>
      </c>
      <c r="K261" s="263" t="s">
        <v>76</v>
      </c>
      <c r="L261" s="70"/>
    </row>
    <row r="262" spans="2:12">
      <c r="B262" s="37" t="s">
        <v>291</v>
      </c>
      <c r="C262" s="67"/>
      <c r="D262" s="238" t="s">
        <v>243</v>
      </c>
      <c r="L262" s="73"/>
    </row>
    <row r="263" spans="2:12">
      <c r="B263" s="14" t="s">
        <v>256</v>
      </c>
      <c r="C263" s="65">
        <f>_xlfn.XLOOKUP(E264,Load_haul_dump_soil_ameliorants_from_off_site_names_UR,Load_haul_dump_growth_media_distance_avg)</f>
        <v>22.5</v>
      </c>
      <c r="D263" s="238" t="s">
        <v>86</v>
      </c>
      <c r="L263" s="73"/>
    </row>
    <row r="264" spans="2:12" ht="13">
      <c r="B264" s="14" t="s">
        <v>257</v>
      </c>
      <c r="C264" s="341">
        <f>C263*C262</f>
        <v>0</v>
      </c>
      <c r="D264" s="238" t="s">
        <v>99</v>
      </c>
      <c r="E264" s="77" t="s">
        <v>246</v>
      </c>
      <c r="G264" s="47">
        <f>_xlfn.XLOOKUP(E264,Load_haul_dump_soil_ameliorants_from_off_site_names_UR,Load_haul_dump_soil_ameliorants_from_off_site_rates_UR)</f>
        <v>0.11200692041522493</v>
      </c>
      <c r="H264" s="72"/>
      <c r="I264" s="48">
        <f>IF(H264="",G264,H264)</f>
        <v>0.11200692041522493</v>
      </c>
      <c r="J264" s="238" t="s">
        <v>99</v>
      </c>
      <c r="K264" s="45">
        <f>I264*C264</f>
        <v>0</v>
      </c>
      <c r="L264" s="73"/>
    </row>
    <row r="265" spans="2:12" ht="13">
      <c r="B265" s="56" t="s">
        <v>259</v>
      </c>
      <c r="C265" s="313">
        <f>C262</f>
        <v>0</v>
      </c>
      <c r="D265" s="238" t="s">
        <v>243</v>
      </c>
      <c r="E265" s="80" t="s">
        <v>292</v>
      </c>
      <c r="G265" s="106">
        <f>_xlfn.XLOOKUP(E265,Disposal_gate_fee_names,Disposal_gate_fee_rates)</f>
        <v>275</v>
      </c>
      <c r="H265" s="72"/>
      <c r="I265" s="48">
        <f>IF(H265="",G265,H265)</f>
        <v>275</v>
      </c>
      <c r="J265" s="238" t="s">
        <v>243</v>
      </c>
      <c r="K265" s="45">
        <f>I265*C265</f>
        <v>0</v>
      </c>
      <c r="L265" s="73"/>
    </row>
    <row r="266" spans="2:12" ht="13">
      <c r="B266" s="56" t="s">
        <v>261</v>
      </c>
      <c r="C266" s="313">
        <f>C262</f>
        <v>0</v>
      </c>
      <c r="D266" s="238" t="s">
        <v>243</v>
      </c>
      <c r="E266" s="77" t="s">
        <v>262</v>
      </c>
      <c r="G266" s="106">
        <f>_xlfn.XLOOKUP(E266,Waste_levy_names,Waste_levy_rates)</f>
        <v>83</v>
      </c>
      <c r="H266" s="72"/>
      <c r="I266" s="48">
        <f>IF(H266="",G266,H266)</f>
        <v>83</v>
      </c>
      <c r="J266" s="238" t="s">
        <v>243</v>
      </c>
      <c r="K266" s="45">
        <f>I266*C266</f>
        <v>0</v>
      </c>
      <c r="L266" s="70"/>
    </row>
    <row r="267" spans="2:12">
      <c r="C267" s="286"/>
      <c r="L267" s="73"/>
    </row>
    <row r="268" spans="2:12" ht="13">
      <c r="B268" s="220" t="str">
        <f>B$24</f>
        <v>Totals</v>
      </c>
      <c r="C268" s="339">
        <f>C262</f>
        <v>0</v>
      </c>
      <c r="D268" s="238" t="s">
        <v>243</v>
      </c>
      <c r="G268" s="257"/>
      <c r="H268" s="275" t="s">
        <v>293</v>
      </c>
      <c r="I268" s="39">
        <f>IF(C268=0,0,K268/C268)</f>
        <v>0</v>
      </c>
      <c r="J268" s="276" t="s">
        <v>284</v>
      </c>
      <c r="K268" s="99">
        <f>SUM(K261:K267)</f>
        <v>0</v>
      </c>
      <c r="L268" s="70"/>
    </row>
    <row r="269" spans="2:12">
      <c r="L269" s="70"/>
    </row>
    <row r="270" spans="2:12" ht="13">
      <c r="B270" s="217" t="s">
        <v>294</v>
      </c>
      <c r="C270" s="217"/>
      <c r="D270" s="217"/>
      <c r="E270" s="217"/>
      <c r="F270" s="217"/>
      <c r="G270" s="217"/>
      <c r="H270" s="217"/>
      <c r="I270" s="217"/>
      <c r="J270" s="217"/>
      <c r="K270" s="217"/>
      <c r="L270" s="217"/>
    </row>
    <row r="271" spans="2:12" s="257" customFormat="1" ht="23.5" customHeight="1">
      <c r="B271" s="267" t="s">
        <v>71</v>
      </c>
      <c r="C271" s="268" t="s">
        <v>72</v>
      </c>
      <c r="D271" s="268" t="s">
        <v>51</v>
      </c>
      <c r="E271" s="271" t="s">
        <v>83</v>
      </c>
      <c r="F271" s="271"/>
      <c r="G271" s="270" t="s">
        <v>50</v>
      </c>
      <c r="H271" s="270" t="s">
        <v>73</v>
      </c>
      <c r="I271" s="270" t="s">
        <v>74</v>
      </c>
      <c r="J271" s="270" t="s">
        <v>75</v>
      </c>
      <c r="K271" s="270" t="s">
        <v>76</v>
      </c>
      <c r="L271" s="70"/>
    </row>
    <row r="272" spans="2:12" s="257" customFormat="1" ht="13">
      <c r="B272" s="37" t="s">
        <v>295</v>
      </c>
      <c r="C272" s="69"/>
      <c r="D272" s="257" t="s">
        <v>296</v>
      </c>
      <c r="E272" s="77" t="s">
        <v>1310</v>
      </c>
      <c r="G272" s="38">
        <f>_xlfn.XLOOKUP(E272,'Cost Schedule'!B358:B377,'Cost Schedule'!C358:C377)</f>
        <v>62000</v>
      </c>
      <c r="H272" s="72"/>
      <c r="I272" s="39">
        <f t="shared" ref="I272:I273" si="13">IF(H272="",G272,H272)</f>
        <v>62000</v>
      </c>
      <c r="J272" s="257" t="s">
        <v>296</v>
      </c>
      <c r="K272" s="45">
        <f>I272*C272</f>
        <v>0</v>
      </c>
      <c r="L272" s="73"/>
    </row>
    <row r="273" spans="2:12" s="257" customFormat="1" ht="13">
      <c r="B273" s="37" t="s">
        <v>298</v>
      </c>
      <c r="C273" s="69"/>
      <c r="D273" s="257" t="s">
        <v>296</v>
      </c>
      <c r="E273" s="77" t="s">
        <v>460</v>
      </c>
      <c r="G273" s="38">
        <f>_xlfn.XLOOKUP(E273,'Cost Schedule'!B359:B378,'Cost Schedule'!C359:C378)</f>
        <v>69000</v>
      </c>
      <c r="H273" s="72"/>
      <c r="I273" s="39">
        <f t="shared" si="13"/>
        <v>69000</v>
      </c>
      <c r="J273" s="257" t="s">
        <v>296</v>
      </c>
      <c r="K273" s="45">
        <f t="shared" ref="K273:K274" si="14">I273*C273</f>
        <v>0</v>
      </c>
      <c r="L273" s="73"/>
    </row>
    <row r="274" spans="2:12" s="257" customFormat="1" ht="13">
      <c r="B274" s="37" t="s">
        <v>300</v>
      </c>
      <c r="C274" s="69"/>
      <c r="D274" s="257" t="s">
        <v>296</v>
      </c>
      <c r="E274" s="77" t="s">
        <v>461</v>
      </c>
      <c r="G274" s="38">
        <f>_xlfn.XLOOKUP(E274,'Cost Schedule'!B360:B379,'Cost Schedule'!C360:C379)</f>
        <v>111000</v>
      </c>
      <c r="H274" s="72"/>
      <c r="I274" s="39">
        <f>IF(H274="",G274,H274)</f>
        <v>111000</v>
      </c>
      <c r="J274" s="257" t="s">
        <v>296</v>
      </c>
      <c r="K274" s="45">
        <f t="shared" si="14"/>
        <v>0</v>
      </c>
      <c r="L274" s="73"/>
    </row>
    <row r="275" spans="2:12" s="257" customFormat="1">
      <c r="C275" s="342"/>
      <c r="K275" s="238"/>
      <c r="L275" s="73"/>
    </row>
    <row r="276" spans="2:12" s="257" customFormat="1" ht="13">
      <c r="B276" s="220" t="str">
        <f>B$24</f>
        <v>Totals</v>
      </c>
      <c r="C276" s="340">
        <f>SUM(C272:C274)</f>
        <v>0</v>
      </c>
      <c r="D276" s="257" t="s">
        <v>302</v>
      </c>
      <c r="I276" s="39">
        <f>IF(C276=0,0,K276/C276)</f>
        <v>0</v>
      </c>
      <c r="J276" s="276" t="s">
        <v>420</v>
      </c>
      <c r="K276" s="35">
        <f>SUM(K271:K275)</f>
        <v>0</v>
      </c>
      <c r="L276" s="70"/>
    </row>
    <row r="277" spans="2:12" s="257" customFormat="1">
      <c r="L277" s="70"/>
    </row>
    <row r="278" spans="2:12" ht="13">
      <c r="B278" s="217" t="s">
        <v>304</v>
      </c>
      <c r="C278" s="217"/>
      <c r="D278" s="217"/>
      <c r="E278" s="217"/>
      <c r="F278" s="217"/>
      <c r="G278" s="217"/>
      <c r="H278" s="217"/>
      <c r="I278" s="217"/>
      <c r="J278" s="217"/>
      <c r="K278" s="217"/>
      <c r="L278" s="217"/>
    </row>
    <row r="279" spans="2:12" s="214" customFormat="1" ht="13">
      <c r="B279" s="261" t="s">
        <v>71</v>
      </c>
      <c r="C279" s="262" t="s">
        <v>72</v>
      </c>
      <c r="D279" s="262" t="s">
        <v>51</v>
      </c>
      <c r="E279" s="264"/>
      <c r="F279" s="264"/>
      <c r="G279" s="263" t="s">
        <v>50</v>
      </c>
      <c r="H279" s="263" t="s">
        <v>73</v>
      </c>
      <c r="I279" s="263" t="s">
        <v>74</v>
      </c>
      <c r="J279" s="263" t="s">
        <v>75</v>
      </c>
      <c r="K279" s="263" t="s">
        <v>76</v>
      </c>
      <c r="L279" s="70"/>
    </row>
    <row r="280" spans="2:12" ht="13">
      <c r="B280" s="37" t="s">
        <v>306</v>
      </c>
      <c r="C280" s="69"/>
      <c r="D280" s="238" t="s">
        <v>305</v>
      </c>
      <c r="G280" s="47"/>
      <c r="H280" s="72"/>
      <c r="I280" s="39">
        <f t="shared" ref="I280:I282" si="15">IF(H280="",G280,H280)</f>
        <v>0</v>
      </c>
      <c r="J280" s="257" t="s">
        <v>305</v>
      </c>
      <c r="K280" s="45">
        <f>I280*C280</f>
        <v>0</v>
      </c>
      <c r="L280" s="73"/>
    </row>
    <row r="281" spans="2:12" ht="13">
      <c r="B281" s="37" t="s">
        <v>307</v>
      </c>
      <c r="C281" s="69"/>
      <c r="D281" s="238" t="s">
        <v>305</v>
      </c>
      <c r="G281" s="47"/>
      <c r="H281" s="72"/>
      <c r="I281" s="39">
        <f t="shared" si="15"/>
        <v>0</v>
      </c>
      <c r="J281" s="257" t="s">
        <v>305</v>
      </c>
      <c r="K281" s="45">
        <f t="shared" ref="K281:K282" si="16">I281*C281</f>
        <v>0</v>
      </c>
      <c r="L281" s="70"/>
    </row>
    <row r="282" spans="2:12" ht="13">
      <c r="B282" s="81" t="s">
        <v>1345</v>
      </c>
      <c r="C282" s="69"/>
      <c r="D282" s="238" t="s">
        <v>305</v>
      </c>
      <c r="G282" s="47"/>
      <c r="H282" s="72"/>
      <c r="I282" s="48">
        <f t="shared" si="15"/>
        <v>0</v>
      </c>
      <c r="J282" s="257" t="s">
        <v>305</v>
      </c>
      <c r="K282" s="45">
        <f t="shared" si="16"/>
        <v>0</v>
      </c>
      <c r="L282" s="73"/>
    </row>
    <row r="283" spans="2:12" ht="13">
      <c r="B283" s="81" t="s">
        <v>1345</v>
      </c>
      <c r="C283" s="69"/>
      <c r="D283" s="238" t="s">
        <v>305</v>
      </c>
      <c r="G283" s="47"/>
      <c r="H283" s="72"/>
      <c r="I283" s="48">
        <f>IF(H283="",G283,H283)</f>
        <v>0</v>
      </c>
      <c r="J283" s="257" t="s">
        <v>305</v>
      </c>
      <c r="K283" s="45">
        <f>I283*C283</f>
        <v>0</v>
      </c>
      <c r="L283" s="70"/>
    </row>
    <row r="284" spans="2:12" ht="13">
      <c r="B284" s="81" t="s">
        <v>1345</v>
      </c>
      <c r="C284" s="69"/>
      <c r="D284" s="238" t="s">
        <v>305</v>
      </c>
      <c r="G284" s="47"/>
      <c r="H284" s="72"/>
      <c r="I284" s="48">
        <f>IF(H284="",G284,H284)</f>
        <v>0</v>
      </c>
      <c r="J284" s="257" t="s">
        <v>305</v>
      </c>
      <c r="K284" s="45">
        <f>I284*C284</f>
        <v>0</v>
      </c>
      <c r="L284" s="73"/>
    </row>
    <row r="285" spans="2:12">
      <c r="C285" s="335"/>
      <c r="L285" s="73"/>
    </row>
    <row r="286" spans="2:12" ht="13">
      <c r="B286" s="220" t="str">
        <f>B$24</f>
        <v>Totals</v>
      </c>
      <c r="C286" s="340">
        <f>SUM(C279:C285)</f>
        <v>0</v>
      </c>
      <c r="D286" s="238" t="s">
        <v>308</v>
      </c>
      <c r="G286" s="257"/>
      <c r="H286" s="275" t="s">
        <v>309</v>
      </c>
      <c r="I286" s="39">
        <f>IF(C286=0,0,K286/C286)</f>
        <v>0</v>
      </c>
      <c r="J286" s="276" t="s">
        <v>462</v>
      </c>
      <c r="K286" s="99">
        <f>SUM(K279:K285)</f>
        <v>0</v>
      </c>
      <c r="L286" s="70"/>
    </row>
    <row r="287" spans="2:12">
      <c r="C287" s="343"/>
      <c r="L287" s="70"/>
    </row>
    <row r="288" spans="2:12" ht="13">
      <c r="B288" s="217" t="s">
        <v>310</v>
      </c>
      <c r="C288" s="217"/>
      <c r="D288" s="217"/>
      <c r="E288" s="217"/>
      <c r="F288" s="217"/>
      <c r="G288" s="217"/>
      <c r="H288" s="217"/>
      <c r="I288" s="217"/>
      <c r="J288" s="217"/>
      <c r="K288" s="217"/>
      <c r="L288" s="217"/>
    </row>
    <row r="289" spans="2:12" s="214" customFormat="1" ht="13">
      <c r="B289" s="261" t="s">
        <v>71</v>
      </c>
      <c r="C289" s="262" t="s">
        <v>72</v>
      </c>
      <c r="D289" s="262" t="s">
        <v>51</v>
      </c>
      <c r="E289" s="264" t="s">
        <v>59</v>
      </c>
      <c r="F289" s="264"/>
      <c r="G289" s="263"/>
      <c r="H289" s="263" t="s">
        <v>73</v>
      </c>
      <c r="I289" s="263" t="s">
        <v>74</v>
      </c>
      <c r="J289" s="263" t="s">
        <v>75</v>
      </c>
      <c r="K289" s="263" t="s">
        <v>76</v>
      </c>
      <c r="L289" s="70"/>
    </row>
    <row r="290" spans="2:12" ht="13">
      <c r="B290" s="81" t="s">
        <v>311</v>
      </c>
      <c r="C290" s="67"/>
      <c r="D290" s="83"/>
      <c r="E290" s="70"/>
      <c r="H290" s="72"/>
      <c r="I290" s="48">
        <f t="shared" ref="I290:I292" si="17">IF(H290="",G290,H290)</f>
        <v>0</v>
      </c>
      <c r="J290" s="306">
        <f>D290</f>
        <v>0</v>
      </c>
      <c r="K290" s="45">
        <f t="shared" ref="K290:K295" si="18">I290*C290</f>
        <v>0</v>
      </c>
      <c r="L290" s="73"/>
    </row>
    <row r="291" spans="2:12" ht="13">
      <c r="B291" s="81" t="s">
        <v>311</v>
      </c>
      <c r="C291" s="67"/>
      <c r="D291" s="83"/>
      <c r="E291" s="70"/>
      <c r="H291" s="72"/>
      <c r="I291" s="48">
        <f t="shared" si="17"/>
        <v>0</v>
      </c>
      <c r="J291" s="306">
        <f t="shared" ref="J291:J295" si="19">D291</f>
        <v>0</v>
      </c>
      <c r="K291" s="45">
        <f t="shared" si="18"/>
        <v>0</v>
      </c>
      <c r="L291" s="70"/>
    </row>
    <row r="292" spans="2:12" ht="13">
      <c r="B292" s="81" t="s">
        <v>311</v>
      </c>
      <c r="C292" s="67"/>
      <c r="D292" s="83"/>
      <c r="E292" s="70"/>
      <c r="H292" s="72"/>
      <c r="I292" s="48">
        <f t="shared" si="17"/>
        <v>0</v>
      </c>
      <c r="J292" s="306">
        <f t="shared" si="19"/>
        <v>0</v>
      </c>
      <c r="K292" s="45">
        <f t="shared" si="18"/>
        <v>0</v>
      </c>
      <c r="L292" s="73"/>
    </row>
    <row r="293" spans="2:12" ht="13">
      <c r="B293" s="81" t="s">
        <v>311</v>
      </c>
      <c r="C293" s="67"/>
      <c r="D293" s="83"/>
      <c r="E293" s="70"/>
      <c r="H293" s="72"/>
      <c r="I293" s="48">
        <f>IF(H293="",G293,H293)</f>
        <v>0</v>
      </c>
      <c r="J293" s="306">
        <f t="shared" si="19"/>
        <v>0</v>
      </c>
      <c r="K293" s="45">
        <f t="shared" si="18"/>
        <v>0</v>
      </c>
      <c r="L293" s="70"/>
    </row>
    <row r="294" spans="2:12" ht="13">
      <c r="B294" s="81" t="s">
        <v>311</v>
      </c>
      <c r="C294" s="67"/>
      <c r="D294" s="83"/>
      <c r="E294" s="70"/>
      <c r="H294" s="72"/>
      <c r="I294" s="48">
        <f>IF(H294="",G294,H294)</f>
        <v>0</v>
      </c>
      <c r="J294" s="306">
        <f t="shared" si="19"/>
        <v>0</v>
      </c>
      <c r="K294" s="45">
        <f t="shared" si="18"/>
        <v>0</v>
      </c>
      <c r="L294" s="73"/>
    </row>
    <row r="295" spans="2:12" ht="13">
      <c r="B295" s="81" t="s">
        <v>311</v>
      </c>
      <c r="C295" s="67"/>
      <c r="D295" s="83"/>
      <c r="E295" s="70"/>
      <c r="H295" s="72"/>
      <c r="I295" s="48">
        <f>IF(H295="",G295,H295)</f>
        <v>0</v>
      </c>
      <c r="J295" s="306">
        <f t="shared" si="19"/>
        <v>0</v>
      </c>
      <c r="K295" s="45">
        <f t="shared" si="18"/>
        <v>0</v>
      </c>
      <c r="L295" s="70"/>
    </row>
    <row r="296" spans="2:12">
      <c r="C296" s="286"/>
      <c r="L296" s="73"/>
    </row>
    <row r="297" spans="2:12" ht="13">
      <c r="B297" s="220" t="str">
        <f>B$24</f>
        <v>Totals</v>
      </c>
      <c r="C297" s="339">
        <f>SUM(C289:C296)</f>
        <v>0</v>
      </c>
      <c r="D297" s="306">
        <f>D290</f>
        <v>0</v>
      </c>
      <c r="G297" s="257"/>
      <c r="H297" s="275" t="s">
        <v>312</v>
      </c>
      <c r="I297" s="48">
        <f>IF(C297=0,0,K297/C297)</f>
        <v>0</v>
      </c>
      <c r="J297" s="307" t="s">
        <v>313</v>
      </c>
      <c r="K297" s="99">
        <f>SUM(K289:K296)</f>
        <v>0</v>
      </c>
      <c r="L297" s="70"/>
    </row>
    <row r="298" spans="2:12">
      <c r="L298" s="70"/>
    </row>
    <row r="299" spans="2:12" ht="13">
      <c r="B299" s="217" t="s">
        <v>314</v>
      </c>
      <c r="C299" s="217"/>
      <c r="D299" s="217"/>
      <c r="E299" s="217"/>
      <c r="F299" s="217"/>
      <c r="G299" s="217"/>
      <c r="H299" s="217"/>
      <c r="I299" s="217"/>
      <c r="J299" s="217"/>
      <c r="K299" s="217"/>
      <c r="L299" s="217"/>
    </row>
    <row r="300" spans="2:12" s="257" customFormat="1" ht="21.65" customHeight="1">
      <c r="B300" s="297" t="s">
        <v>71</v>
      </c>
      <c r="C300" s="297" t="s">
        <v>72</v>
      </c>
      <c r="D300" s="297" t="s">
        <v>51</v>
      </c>
      <c r="E300" s="264"/>
      <c r="F300" s="344" t="s">
        <v>317</v>
      </c>
      <c r="G300" s="298" t="s">
        <v>50</v>
      </c>
      <c r="H300" s="298" t="s">
        <v>73</v>
      </c>
      <c r="I300" s="298" t="s">
        <v>74</v>
      </c>
      <c r="J300" s="298" t="s">
        <v>75</v>
      </c>
      <c r="K300" s="298" t="s">
        <v>76</v>
      </c>
      <c r="L300" s="70"/>
    </row>
    <row r="301" spans="2:12" s="257" customFormat="1" ht="13">
      <c r="B301" s="37" t="s">
        <v>318</v>
      </c>
      <c r="C301" s="58">
        <v>0.1</v>
      </c>
      <c r="D301" s="109"/>
      <c r="E301" s="300" t="s">
        <v>319</v>
      </c>
      <c r="F301" s="309">
        <f>SUM(K24,K39,K45,K62,K55,K72,K109,K123,K130,K140,K150,K170,K187,K200,K209,K219,K248,K258,K268,K276,K286,K297)</f>
        <v>0</v>
      </c>
      <c r="G301" s="38">
        <f>F$301*IF(D301="",C301,D301)</f>
        <v>0</v>
      </c>
      <c r="H301" s="72"/>
      <c r="I301" s="39">
        <f>IF(H301="",G301,H301)</f>
        <v>0</v>
      </c>
      <c r="K301" s="45">
        <f>I301</f>
        <v>0</v>
      </c>
      <c r="L301" s="73"/>
    </row>
    <row r="302" spans="2:12" s="257" customFormat="1" ht="13">
      <c r="B302" s="37" t="s">
        <v>320</v>
      </c>
      <c r="C302" s="58">
        <v>0.05</v>
      </c>
      <c r="D302" s="109"/>
      <c r="E302" s="300" t="s">
        <v>319</v>
      </c>
      <c r="G302" s="38">
        <f t="shared" ref="G302:G303" si="20">F$301*IF(D302="",C302,D302)</f>
        <v>0</v>
      </c>
      <c r="H302" s="72"/>
      <c r="I302" s="39">
        <f t="shared" ref="I302:I303" si="21">IF(H302="",G302,H302)</f>
        <v>0</v>
      </c>
      <c r="K302" s="45">
        <f t="shared" ref="K302:K303" si="22">I302</f>
        <v>0</v>
      </c>
      <c r="L302" s="70"/>
    </row>
    <row r="303" spans="2:12" s="257" customFormat="1" ht="13">
      <c r="B303" s="59" t="s">
        <v>321</v>
      </c>
      <c r="C303" s="58">
        <v>0.1</v>
      </c>
      <c r="D303" s="109"/>
      <c r="E303" s="300" t="s">
        <v>319</v>
      </c>
      <c r="G303" s="38">
        <f t="shared" si="20"/>
        <v>0</v>
      </c>
      <c r="H303" s="72"/>
      <c r="I303" s="39">
        <f t="shared" si="21"/>
        <v>0</v>
      </c>
      <c r="K303" s="45">
        <f t="shared" si="22"/>
        <v>0</v>
      </c>
      <c r="L303" s="73"/>
    </row>
    <row r="304" spans="2:12">
      <c r="L304" s="73"/>
    </row>
    <row r="305" spans="2:12" s="257" customFormat="1" ht="13">
      <c r="J305" s="276" t="s">
        <v>313</v>
      </c>
      <c r="K305" s="35">
        <f>SUM(K300:K304)</f>
        <v>0</v>
      </c>
      <c r="L305" s="73"/>
    </row>
    <row r="306" spans="2:12" s="257" customFormat="1">
      <c r="C306" s="238"/>
      <c r="J306" s="238"/>
      <c r="L306" s="73"/>
    </row>
    <row r="307" spans="2:12" ht="13">
      <c r="B307" s="217" t="s">
        <v>53</v>
      </c>
      <c r="C307" s="217"/>
      <c r="D307" s="217"/>
      <c r="E307" s="217"/>
      <c r="F307" s="217"/>
      <c r="G307" s="217"/>
      <c r="H307" s="217"/>
      <c r="I307" s="217"/>
      <c r="J307" s="217"/>
      <c r="K307" s="217"/>
      <c r="L307" s="217"/>
    </row>
    <row r="308" spans="2:12" ht="13">
      <c r="B308" s="261" t="s">
        <v>463</v>
      </c>
      <c r="C308" s="262" t="s">
        <v>322</v>
      </c>
      <c r="D308" s="262" t="s">
        <v>1327</v>
      </c>
      <c r="E308" s="264" t="s">
        <v>323</v>
      </c>
      <c r="F308" s="264"/>
      <c r="G308" s="263" t="s">
        <v>50</v>
      </c>
      <c r="H308" s="263" t="s">
        <v>73</v>
      </c>
      <c r="I308" s="263" t="s">
        <v>74</v>
      </c>
      <c r="J308" s="263" t="s">
        <v>75</v>
      </c>
      <c r="K308" s="263" t="s">
        <v>76</v>
      </c>
      <c r="L308" s="73"/>
    </row>
    <row r="309" spans="2:12" ht="13">
      <c r="B309" s="14" t="s">
        <v>324</v>
      </c>
      <c r="D309" s="310"/>
      <c r="E309" s="334" t="str">
        <f>C$14</f>
        <v>Select make and model</v>
      </c>
      <c r="F309" s="264"/>
      <c r="L309" s="73"/>
    </row>
    <row r="310" spans="2:12" ht="13">
      <c r="B310" s="37" t="s">
        <v>330</v>
      </c>
      <c r="C310" s="60">
        <f>SUM(C311:C319)</f>
        <v>0</v>
      </c>
      <c r="D310" s="107">
        <f>_xlfn.XLOOKUP(E$309,BESS_models,BESS_mass)*$C$15</f>
        <v>0</v>
      </c>
      <c r="F310" s="264"/>
      <c r="L310" s="73"/>
    </row>
    <row r="311" spans="2:12" ht="13">
      <c r="B311" s="37" t="str" cm="1">
        <f t="array" ref="B311:B319">Batteries!B8:B16</f>
        <v>Steel (carbon/stainless)</v>
      </c>
      <c r="C311" s="60">
        <f>_xlfn.XLOOKUP(E$309,BESS_models,BESS_steel)</f>
        <v>0</v>
      </c>
      <c r="D311" s="313">
        <f>C311*D$310</f>
        <v>0</v>
      </c>
      <c r="E311" s="70"/>
      <c r="G311" s="47">
        <f>Scrap_glass_rate</f>
        <v>0</v>
      </c>
      <c r="H311" s="72"/>
      <c r="I311" s="48">
        <f>IF(H311="",G311,H311)</f>
        <v>0</v>
      </c>
      <c r="J311" s="238" t="s">
        <v>325</v>
      </c>
      <c r="K311" s="45">
        <f>D311*I311</f>
        <v>0</v>
      </c>
      <c r="L311" s="73"/>
    </row>
    <row r="312" spans="2:12" ht="13">
      <c r="B312" s="37" t="str">
        <v>Copper</v>
      </c>
      <c r="C312" s="60">
        <f>_xlfn.XLOOKUP(E$309,BESS_models,BESS_copper)</f>
        <v>0</v>
      </c>
      <c r="D312" s="313">
        <f t="shared" ref="D312:D319" si="23">C312*D$310</f>
        <v>0</v>
      </c>
      <c r="E312" s="70"/>
      <c r="G312" s="47">
        <f>Scrap_copper_and_alloy_rate</f>
        <v>5</v>
      </c>
      <c r="H312" s="72"/>
      <c r="I312" s="48">
        <f t="shared" ref="I312:I319" si="24">IF(H312="",G312,H312)</f>
        <v>5</v>
      </c>
      <c r="J312" s="238" t="s">
        <v>325</v>
      </c>
      <c r="K312" s="45">
        <f>D312*I312</f>
        <v>0</v>
      </c>
      <c r="L312" s="73"/>
    </row>
    <row r="313" spans="2:12" ht="13">
      <c r="B313" s="37" t="str">
        <v>Aluminium</v>
      </c>
      <c r="C313" s="60">
        <f>_xlfn.XLOOKUP(E$309,BESS_models,BESS_aluminium)</f>
        <v>0</v>
      </c>
      <c r="D313" s="313">
        <f t="shared" si="23"/>
        <v>0</v>
      </c>
      <c r="E313" s="70"/>
      <c r="G313" s="47">
        <f>Scrap_aluminium_and_alloy_rate</f>
        <v>2.5</v>
      </c>
      <c r="H313" s="72"/>
      <c r="I313" s="48">
        <f t="shared" si="24"/>
        <v>2.5</v>
      </c>
      <c r="J313" s="238" t="s">
        <v>325</v>
      </c>
      <c r="K313" s="45">
        <f>D313*I313</f>
        <v>0</v>
      </c>
      <c r="L313" s="73"/>
    </row>
    <row r="314" spans="2:12" ht="13">
      <c r="B314" s="37" t="str">
        <v>Lithium-iron-phosphate cells</v>
      </c>
      <c r="C314" s="60">
        <f>_xlfn.XLOOKUP(E$309,BESS_models,BESS_LiFePO4_cells)</f>
        <v>0</v>
      </c>
      <c r="D314" s="313">
        <f t="shared" si="23"/>
        <v>0</v>
      </c>
      <c r="E314" s="70"/>
      <c r="G314" s="47">
        <v>0</v>
      </c>
      <c r="H314" s="72"/>
      <c r="I314" s="48">
        <f t="shared" si="24"/>
        <v>0</v>
      </c>
      <c r="J314" s="238" t="s">
        <v>325</v>
      </c>
      <c r="K314" s="45">
        <f>D314*I314</f>
        <v>0</v>
      </c>
      <c r="L314" s="73"/>
    </row>
    <row r="315" spans="2:12" ht="13">
      <c r="B315" s="37" t="str">
        <v>Electronics</v>
      </c>
      <c r="C315" s="60">
        <f>_xlfn.XLOOKUP(E$309,BESS_models,BESS_electronics)</f>
        <v>0</v>
      </c>
      <c r="D315" s="313">
        <f t="shared" si="23"/>
        <v>0</v>
      </c>
      <c r="E315" s="70"/>
      <c r="G315" s="86">
        <v>0</v>
      </c>
      <c r="H315" s="72"/>
      <c r="I315" s="48">
        <f t="shared" si="24"/>
        <v>0</v>
      </c>
      <c r="J315" s="238" t="s">
        <v>325</v>
      </c>
      <c r="K315" s="45">
        <f>D315*I315</f>
        <v>0</v>
      </c>
      <c r="L315" s="73"/>
    </row>
    <row r="316" spans="2:12" ht="13">
      <c r="B316" s="37" t="str">
        <v>Plastics/polymers</v>
      </c>
      <c r="C316" s="60">
        <f>_xlfn.XLOOKUP(E$309,BESS_models,BESS_plastics)</f>
        <v>0</v>
      </c>
      <c r="D316" s="313">
        <f t="shared" si="23"/>
        <v>0</v>
      </c>
      <c r="E316" s="70"/>
      <c r="G316" s="86">
        <v>0</v>
      </c>
      <c r="H316" s="72"/>
      <c r="I316" s="48">
        <f t="shared" si="24"/>
        <v>0</v>
      </c>
      <c r="J316" s="238" t="s">
        <v>325</v>
      </c>
      <c r="K316" s="45">
        <f t="shared" ref="K316:K319" si="25">D316*I316</f>
        <v>0</v>
      </c>
      <c r="L316" s="73"/>
    </row>
    <row r="317" spans="2:12" ht="13">
      <c r="B317" s="37" t="str">
        <v>Cooling fluids/misc. liquids</v>
      </c>
      <c r="C317" s="60">
        <f>_xlfn.XLOOKUP(E$309,BESS_models,BESS_fluids)</f>
        <v>0</v>
      </c>
      <c r="D317" s="313">
        <f t="shared" si="23"/>
        <v>0</v>
      </c>
      <c r="E317" s="70"/>
      <c r="G317" s="86">
        <v>0</v>
      </c>
      <c r="H317" s="72"/>
      <c r="I317" s="48">
        <f t="shared" si="24"/>
        <v>0</v>
      </c>
      <c r="J317" s="238" t="s">
        <v>325</v>
      </c>
      <c r="K317" s="45">
        <f t="shared" si="25"/>
        <v>0</v>
      </c>
      <c r="L317" s="73"/>
    </row>
    <row r="318" spans="2:12" ht="13">
      <c r="B318" s="37" t="str">
        <v>Glass/ceramics/insulation</v>
      </c>
      <c r="C318" s="60">
        <f>_xlfn.XLOOKUP(E$309,BESS_models,BESS_glass_etc)</f>
        <v>0</v>
      </c>
      <c r="D318" s="313">
        <f t="shared" si="23"/>
        <v>0</v>
      </c>
      <c r="E318" s="70"/>
      <c r="G318" s="86">
        <v>0</v>
      </c>
      <c r="H318" s="72"/>
      <c r="I318" s="48">
        <f t="shared" si="24"/>
        <v>0</v>
      </c>
      <c r="J318" s="238" t="s">
        <v>325</v>
      </c>
      <c r="K318" s="45">
        <f t="shared" si="25"/>
        <v>0</v>
      </c>
      <c r="L318" s="73"/>
    </row>
    <row r="319" spans="2:12" ht="13">
      <c r="B319" s="37" t="str">
        <v>Other (paint, gaskets, fasteners)</v>
      </c>
      <c r="C319" s="60">
        <f>_xlfn.XLOOKUP(E$309,BESS_models,BESS_other)</f>
        <v>0</v>
      </c>
      <c r="D319" s="313">
        <f t="shared" si="23"/>
        <v>0</v>
      </c>
      <c r="E319" s="70"/>
      <c r="G319" s="86">
        <v>0</v>
      </c>
      <c r="H319" s="72"/>
      <c r="I319" s="48">
        <f t="shared" si="24"/>
        <v>0</v>
      </c>
      <c r="J319" s="238" t="s">
        <v>325</v>
      </c>
      <c r="K319" s="45">
        <f t="shared" si="25"/>
        <v>0</v>
      </c>
      <c r="L319" s="73"/>
    </row>
    <row r="320" spans="2:12">
      <c r="L320" s="73"/>
    </row>
    <row r="321" spans="2:12" ht="13">
      <c r="H321" s="265" t="s">
        <v>326</v>
      </c>
      <c r="I321" s="48">
        <f>IF(C15=0,0,K321/C15)</f>
        <v>0</v>
      </c>
      <c r="J321" s="266" t="s">
        <v>452</v>
      </c>
      <c r="K321" s="99">
        <f>SUM(K308:K320)</f>
        <v>0</v>
      </c>
      <c r="L321" s="73"/>
    </row>
    <row r="322" spans="2:12">
      <c r="L322" s="73"/>
    </row>
    <row r="323" spans="2:12" ht="13">
      <c r="B323" s="261" t="s">
        <v>332</v>
      </c>
      <c r="C323" s="263" t="s">
        <v>1106</v>
      </c>
      <c r="D323" s="262" t="s">
        <v>1327</v>
      </c>
      <c r="E323" s="264" t="s">
        <v>323</v>
      </c>
      <c r="F323" s="264"/>
      <c r="G323" s="263" t="s">
        <v>50</v>
      </c>
      <c r="H323" s="263" t="s">
        <v>73</v>
      </c>
      <c r="I323" s="263" t="s">
        <v>74</v>
      </c>
      <c r="J323" s="263" t="s">
        <v>75</v>
      </c>
      <c r="K323" s="263" t="s">
        <v>76</v>
      </c>
      <c r="L323" s="73"/>
    </row>
    <row r="324" spans="2:12" ht="13">
      <c r="B324" s="14" t="s">
        <v>52</v>
      </c>
      <c r="C324" s="313">
        <f>SUM(C325:C334)</f>
        <v>0</v>
      </c>
      <c r="D324" s="313">
        <f>SUM(D325:D334)</f>
        <v>0</v>
      </c>
      <c r="F324" s="264"/>
      <c r="L324" s="73"/>
    </row>
    <row r="325" spans="2:12" ht="13">
      <c r="B325" s="64" t="str" cm="1">
        <f t="array" ref="B325:B330">'Cost Schedule'!B62:B67</f>
        <v>DC Cable - Stringers</v>
      </c>
      <c r="C325" s="65">
        <f t="shared" ref="C325:C330" si="26">C28</f>
        <v>0</v>
      </c>
      <c r="D325" s="313">
        <f>C325*_xlfn.XLOOKUP(E325,Assumptions!$B$27:$B$56,Assumptions!$E$27:$E$56)</f>
        <v>0</v>
      </c>
      <c r="E325" s="294" t="str">
        <f t="shared" ref="E325:E330" si="27">E28</f>
        <v>DC Cables - string - specific weight - 4mm2</v>
      </c>
      <c r="F325" s="77" t="s">
        <v>828</v>
      </c>
      <c r="G325" s="38">
        <f t="shared" ref="G325:G334" si="28">IF(F325=Aluminium,Scrap_aluminium_and_alloy_rate,Scrap_copper_and_alloy_rate)*kilograms_in_tonnes</f>
        <v>5000</v>
      </c>
      <c r="H325" s="72"/>
      <c r="I325" s="48">
        <f t="shared" ref="I325:I334" si="29">IF(H325="",G325,H325)</f>
        <v>5000</v>
      </c>
      <c r="K325" s="45">
        <f>D325*I325</f>
        <v>0</v>
      </c>
      <c r="L325" s="73"/>
    </row>
    <row r="326" spans="2:12" ht="13">
      <c r="B326" s="37" t="str">
        <v>DC Cable - Feeders - above ground</v>
      </c>
      <c r="C326" s="65">
        <f t="shared" si="26"/>
        <v>0</v>
      </c>
      <c r="D326" s="313">
        <f>C326*_xlfn.XLOOKUP(E326,Assumptions!$B$27:$B$56,Assumptions!$E$27:$E$56)</f>
        <v>0</v>
      </c>
      <c r="E326" s="294" t="str">
        <f t="shared" si="27"/>
        <v>DC Cables - feeder - specific weight - single core 16mm2</v>
      </c>
      <c r="F326" s="77" t="s">
        <v>828</v>
      </c>
      <c r="G326" s="38">
        <f t="shared" si="28"/>
        <v>5000</v>
      </c>
      <c r="H326" s="72"/>
      <c r="I326" s="48">
        <f t="shared" si="29"/>
        <v>5000</v>
      </c>
      <c r="K326" s="45">
        <f t="shared" ref="K326:K329" si="30">D326*I326</f>
        <v>0</v>
      </c>
      <c r="L326" s="73"/>
    </row>
    <row r="327" spans="2:12" ht="13">
      <c r="B327" s="37" t="str">
        <v>DC Cable - Feeders - below ground</v>
      </c>
      <c r="C327" s="65">
        <f t="shared" si="26"/>
        <v>0</v>
      </c>
      <c r="D327" s="313">
        <f>C327*_xlfn.XLOOKUP(E327,Assumptions!$B$27:$B$56,Assumptions!$E$27:$E$56)</f>
        <v>0</v>
      </c>
      <c r="E327" s="294" t="str">
        <f t="shared" si="27"/>
        <v>DC Cables - feeder - specific weight - single core 25mm2</v>
      </c>
      <c r="F327" s="77" t="s">
        <v>828</v>
      </c>
      <c r="G327" s="38">
        <f t="shared" si="28"/>
        <v>5000</v>
      </c>
      <c r="H327" s="72"/>
      <c r="I327" s="48">
        <f t="shared" si="29"/>
        <v>5000</v>
      </c>
      <c r="K327" s="45">
        <f t="shared" si="30"/>
        <v>0</v>
      </c>
      <c r="L327" s="73"/>
    </row>
    <row r="328" spans="2:12" ht="13">
      <c r="B328" s="37" t="str">
        <v>AC Low Voltage Cable</v>
      </c>
      <c r="C328" s="65">
        <f t="shared" si="26"/>
        <v>0</v>
      </c>
      <c r="D328" s="313">
        <f>C328*_xlfn.XLOOKUP(E328,Assumptions!$B$27:$B$56,Assumptions!$E$27:$E$56)</f>
        <v>0</v>
      </c>
      <c r="E328" s="294" t="str">
        <f t="shared" si="27"/>
        <v>AC Cables - low voltage - specific weight</v>
      </c>
      <c r="F328" s="77" t="s">
        <v>828</v>
      </c>
      <c r="G328" s="38">
        <f t="shared" si="28"/>
        <v>5000</v>
      </c>
      <c r="H328" s="72"/>
      <c r="I328" s="48">
        <f t="shared" si="29"/>
        <v>5000</v>
      </c>
      <c r="K328" s="45">
        <f t="shared" si="30"/>
        <v>0</v>
      </c>
      <c r="L328" s="73"/>
    </row>
    <row r="329" spans="2:12" ht="13">
      <c r="B329" s="37" t="str">
        <v>AC medium Voltage Cable</v>
      </c>
      <c r="C329" s="65">
        <f t="shared" si="26"/>
        <v>0</v>
      </c>
      <c r="D329" s="313">
        <f>C329*_xlfn.XLOOKUP(E329,Assumptions!$B$27:$B$56,Assumptions!$E$27:$E$56)</f>
        <v>0</v>
      </c>
      <c r="E329" s="294" t="str">
        <f t="shared" si="27"/>
        <v>AC Cables - medium voltage - specific weight</v>
      </c>
      <c r="F329" s="77" t="s">
        <v>827</v>
      </c>
      <c r="G329" s="38">
        <f t="shared" si="28"/>
        <v>2500</v>
      </c>
      <c r="H329" s="72"/>
      <c r="I329" s="48">
        <f t="shared" si="29"/>
        <v>2500</v>
      </c>
      <c r="K329" s="45">
        <f t="shared" si="30"/>
        <v>0</v>
      </c>
      <c r="L329" s="73"/>
    </row>
    <row r="330" spans="2:12" ht="13">
      <c r="B330" s="37" t="str">
        <v>Fibre / Control Cable</v>
      </c>
      <c r="C330" s="65">
        <f t="shared" si="26"/>
        <v>0</v>
      </c>
      <c r="D330" s="313">
        <f>C330*_xlfn.XLOOKUP(E330,Assumptions!$B$27:$B$56,Assumptions!$E$27:$E$56)</f>
        <v>0</v>
      </c>
      <c r="E330" s="294" t="str">
        <f t="shared" si="27"/>
        <v>Fibre/Control Cable - 0.75mm2</v>
      </c>
      <c r="F330" s="77" t="s">
        <v>828</v>
      </c>
      <c r="G330" s="38">
        <f t="shared" si="28"/>
        <v>5000</v>
      </c>
      <c r="H330" s="72"/>
      <c r="I330" s="48">
        <f t="shared" si="29"/>
        <v>5000</v>
      </c>
      <c r="K330" s="45">
        <f>D330*I330</f>
        <v>0</v>
      </c>
      <c r="L330" s="73"/>
    </row>
    <row r="331" spans="2:12" ht="13">
      <c r="B331" s="81" t="s">
        <v>1345</v>
      </c>
      <c r="C331" s="87"/>
      <c r="D331" s="87"/>
      <c r="E331" s="77"/>
      <c r="F331" s="77" t="s">
        <v>828</v>
      </c>
      <c r="G331" s="38">
        <f t="shared" si="28"/>
        <v>5000</v>
      </c>
      <c r="H331" s="72"/>
      <c r="I331" s="48">
        <f t="shared" si="29"/>
        <v>5000</v>
      </c>
      <c r="K331" s="45">
        <f t="shared" ref="K331:K334" si="31">D331*I331</f>
        <v>0</v>
      </c>
      <c r="L331" s="73"/>
    </row>
    <row r="332" spans="2:12" ht="13">
      <c r="B332" s="81" t="s">
        <v>1345</v>
      </c>
      <c r="C332" s="87"/>
      <c r="D332" s="87"/>
      <c r="E332" s="77"/>
      <c r="F332" s="77" t="s">
        <v>827</v>
      </c>
      <c r="G332" s="38">
        <f t="shared" si="28"/>
        <v>2500</v>
      </c>
      <c r="H332" s="72"/>
      <c r="I332" s="48">
        <f t="shared" si="29"/>
        <v>2500</v>
      </c>
      <c r="K332" s="45">
        <f t="shared" si="31"/>
        <v>0</v>
      </c>
      <c r="L332" s="73"/>
    </row>
    <row r="333" spans="2:12" ht="13">
      <c r="B333" s="81" t="s">
        <v>1345</v>
      </c>
      <c r="C333" s="87"/>
      <c r="D333" s="87"/>
      <c r="E333" s="77"/>
      <c r="F333" s="77" t="s">
        <v>828</v>
      </c>
      <c r="G333" s="38">
        <f t="shared" si="28"/>
        <v>5000</v>
      </c>
      <c r="H333" s="72"/>
      <c r="I333" s="48">
        <f t="shared" si="29"/>
        <v>5000</v>
      </c>
      <c r="K333" s="45">
        <f t="shared" si="31"/>
        <v>0</v>
      </c>
      <c r="L333" s="73"/>
    </row>
    <row r="334" spans="2:12" ht="13">
      <c r="B334" s="81" t="s">
        <v>1345</v>
      </c>
      <c r="C334" s="87"/>
      <c r="D334" s="87"/>
      <c r="E334" s="77"/>
      <c r="F334" s="77" t="s">
        <v>827</v>
      </c>
      <c r="G334" s="38">
        <f t="shared" si="28"/>
        <v>2500</v>
      </c>
      <c r="H334" s="72"/>
      <c r="I334" s="48">
        <f t="shared" si="29"/>
        <v>2500</v>
      </c>
      <c r="K334" s="45">
        <f t="shared" si="31"/>
        <v>0</v>
      </c>
      <c r="L334" s="73"/>
    </row>
    <row r="335" spans="2:12">
      <c r="L335" s="73"/>
    </row>
    <row r="336" spans="2:12" ht="13">
      <c r="H336" s="265" t="s">
        <v>333</v>
      </c>
      <c r="I336" s="39">
        <f>IF(C15=0,0,K336/C15)</f>
        <v>0</v>
      </c>
      <c r="J336" s="266" t="s">
        <v>452</v>
      </c>
      <c r="K336" s="35">
        <f>SUM(K323:K335)</f>
        <v>0</v>
      </c>
      <c r="L336" s="73"/>
    </row>
  </sheetData>
  <sheetProtection algorithmName="SHA-512" hashValue="2Z4sieHzC2ncJv03Y6C3Aa0dZevI6Pv8M08liMK9GrwbplSV3g7EqrG2Lwy9bj6HqXHUoY8HdAf4/rkFX9eduA==" saltValue="2VDzVORqPwQAnsDBs9wdJQ==" spinCount="100000" sheet="1" objects="1" scenarios="1" autoFilter="0"/>
  <dataValidations count="40">
    <dataValidation type="list" allowBlank="1" showInputMessage="1" showErrorMessage="1" sqref="F325:F334" xr:uid="{AF1F9812-EEF7-4748-B718-EABC349D60EE}">
      <formula1>Electrical_cable_material</formula1>
    </dataValidation>
    <dataValidation type="list" allowBlank="1" showInputMessage="1" showErrorMessage="1" sqref="E168 E184 E264" xr:uid="{F7265EBE-C5B9-47F9-A985-4A2549AE7311}">
      <formula1>Load_haul_dump_soil_ameliorants_from_off_site_names_UR</formula1>
    </dataValidation>
    <dataValidation type="list" allowBlank="1" showInputMessage="1" showErrorMessage="1" sqref="E246 E256 E217 E266 E84" xr:uid="{AAF46DE9-81A8-4465-BD25-04F447C787DC}">
      <formula1>Waste_levy_names</formula1>
    </dataValidation>
    <dataValidation type="list" allowBlank="1" showInputMessage="1" showErrorMessage="1" sqref="E255 E265 E245" xr:uid="{F81D3C90-0E9D-4AAE-81CE-5AA60A46B6E2}">
      <formula1>Disposal_gate_fee_names</formula1>
    </dataValidation>
    <dataValidation type="list" allowBlank="1" showInputMessage="1" showErrorMessage="1" sqref="E183" xr:uid="{BA7B6E54-8A1D-4685-BD30-BCC63F47BC2C}">
      <formula1>Ameliorants_names</formula1>
    </dataValidation>
    <dataValidation type="list" allowBlank="1" showInputMessage="1" showErrorMessage="1" sqref="E139 E149" xr:uid="{517F9B2B-4C27-4E1C-AE03-ADB1F347DD9E}">
      <formula1>Buildings_by_area_names_UR</formula1>
    </dataValidation>
    <dataValidation type="list" allowBlank="1" showInputMessage="1" showErrorMessage="1" sqref="E90:E107" xr:uid="{C548D520-8303-44A9-8455-C37B2BCE9E3C}">
      <formula1>Roads_tracks_laydown_list_UR</formula1>
    </dataValidation>
    <dataValidation type="list" allowBlank="1" showInputMessage="1" showErrorMessage="1" sqref="E166" xr:uid="{8604B278-640F-40C3-A9AC-94DCB9ECF1C0}">
      <formula1>Load_haul_dump_growth_media_onsite_names_UR</formula1>
    </dataValidation>
    <dataValidation type="list" allowBlank="1" showInputMessage="1" showErrorMessage="1" sqref="E144:E148" xr:uid="{D5B88B3E-0CC4-4BB3-A77B-FADE06CC84A4}">
      <formula1>Buildings_by_number_names_UR</formula1>
    </dataValidation>
    <dataValidation type="list" allowBlank="1" showInputMessage="1" showErrorMessage="1" sqref="E198" xr:uid="{7DC4228D-F73F-4861-B1D3-41FB71B8CE9F}">
      <formula1>Revegetation_names_UR</formula1>
    </dataValidation>
    <dataValidation type="list" allowBlank="1" showInputMessage="1" showErrorMessage="1" sqref="E68 E206 E215" xr:uid="{0BA60180-DBE5-4810-8F7F-EAD440EF9E40}">
      <formula1>Long_haul_names_modules_UR</formula1>
    </dataValidation>
    <dataValidation type="list" allowBlank="1" showInputMessage="1" showErrorMessage="1" sqref="E254" xr:uid="{0FA09BBE-38BB-44C2-A6C6-3A9D5FFE7C3B}">
      <formula1>Long_haul_names_steel_UR</formula1>
    </dataValidation>
    <dataValidation type="list" allowBlank="1" showInputMessage="1" showErrorMessage="1" sqref="E244 E82" xr:uid="{D61CE755-C0FB-4309-8A01-322EBEC1FEC1}">
      <formula1>Long_haul_names_concrete_UR</formula1>
    </dataValidation>
    <dataValidation type="list" allowBlank="1" showInputMessage="1" showErrorMessage="1" sqref="E35:E37" xr:uid="{B10ECF6F-CBF0-421E-9C8D-8CCBC6209A8B}">
      <formula1>Cable_drums_haul_unload_names_UR</formula1>
    </dataValidation>
    <dataValidation type="list" allowBlank="1" showInputMessage="1" showErrorMessage="1" sqref="E34" xr:uid="{FCBE500C-03F5-47C7-90B1-CEB91499EAE7}">
      <formula1>Copper_cables_haul_unload_names_UR</formula1>
    </dataValidation>
    <dataValidation type="list" allowBlank="1" showInputMessage="1" showErrorMessage="1" sqref="C14" xr:uid="{DFF8A505-7316-4AA0-A14E-B50BCAD6453B}">
      <formula1>BESS_models</formula1>
    </dataValidation>
    <dataValidation type="custom" allowBlank="1" showInputMessage="1" showErrorMessage="1" error="Please enter a numeric value." sqref="C11:C13" xr:uid="{D6FA61B3-8167-421B-BB38-51A0420555EF}">
      <formula1>ISNUMBER(C11:C13)</formula1>
    </dataValidation>
    <dataValidation type="custom" allowBlank="1" showInputMessage="1" showErrorMessage="1" error="Please enter a numeric value." sqref="C15 C43 H19:H22 H28:H37 H43 H49:H53 H59:H60 H66:H70 H76 H82:H84 H90:H107 H113:H121 H127:H128 H134:H138 H144:H148 H166:H168 H183:H185 H198 H206:H207 H215:H217 H233:H235 H244:H246 H254:H256 H264:H266 H272:H274 H280:H284 H290:H295 H301:H303 H311:H319 H325:H334" xr:uid="{588EA824-C002-4FB3-A60E-77EA776CD1D0}">
      <formula1>ISNUMBER(C15)</formula1>
    </dataValidation>
    <dataValidation type="custom" allowBlank="1" showInputMessage="1" showErrorMessage="1" error="Please enter a numeric value." sqref="C19:C22" xr:uid="{4138F8BA-6741-4B57-BF7C-F939810F6340}">
      <formula1>ISNUMBER(C19:C22)</formula1>
    </dataValidation>
    <dataValidation type="custom" allowBlank="1" showInputMessage="1" showErrorMessage="1" error="Please enter a numeric value." sqref="C28:C37" xr:uid="{43889FF2-ED50-471F-A72F-B33BAF686454}">
      <formula1>ISNUMBER(C28:C37)</formula1>
    </dataValidation>
    <dataValidation type="custom" allowBlank="1" showInputMessage="1" showErrorMessage="1" error="Please enter a numeric value." sqref="C49:C53 C134:C138 C144:C148 G315:G319" xr:uid="{0167AACC-6CFB-4F6F-9091-25328C7289D5}">
      <formula1>ISNUMBER(C49:C53)</formula1>
    </dataValidation>
    <dataValidation type="custom" allowBlank="1" showInputMessage="1" showErrorMessage="1" error="Please enter a numeric value." sqref="C59:C60 C127:C128 C76:C77 C66" xr:uid="{A2CF536F-6BD4-410B-815B-32F8A093B92F}">
      <formula1>ISNUMBER(C59:C60)</formula1>
    </dataValidation>
    <dataValidation type="custom" allowBlank="1" showInputMessage="1" showErrorMessage="1" error="Please enter a numeric value." sqref="C90:C107" xr:uid="{F9D242B6-8CC0-47C2-AB44-F968DAAE710E}">
      <formula1>ISNUMBER(C90:C107)</formula1>
    </dataValidation>
    <dataValidation type="custom" allowBlank="1" showInputMessage="1" showErrorMessage="1" error="Please enter a numeric value." sqref="C113:C121" xr:uid="{78640C43-0F53-46CA-860D-569A7D886074}">
      <formula1>ISNUMBER(C113:C121)</formula1>
    </dataValidation>
    <dataValidation type="custom" allowBlank="1" showInputMessage="1" showErrorMessage="1" error="Please enter a numeric value." sqref="C154:C165" xr:uid="{F7BE8B78-20E2-4EE7-9E93-0565A88AB804}">
      <formula1>ISNUMBER(C154:C165)</formula1>
    </dataValidation>
    <dataValidation type="custom" allowBlank="1" showInputMessage="1" showErrorMessage="1" error="Please enter a numeric value." sqref="C174:C180" xr:uid="{C10330F2-A001-4E57-8C4C-EE9235A38BFB}">
      <formula1>ISNUMBER(C174:C180)</formula1>
    </dataValidation>
    <dataValidation type="custom" allowBlank="1" showInputMessage="1" showErrorMessage="1" error="Please enter a numeric value. " sqref="C191:C197" xr:uid="{CDC99F25-27E9-427E-A3E6-7C335B08023F}">
      <formula1>ISNUMBER(C191:C197)</formula1>
    </dataValidation>
    <dataValidation type="custom" allowBlank="1" showInputMessage="1" showErrorMessage="1" error="Please enter a numeric value. " sqref="C204:C207 C213 C67" xr:uid="{CD40EAF3-F0B4-44B3-B9C5-500D4BB9C0AB}">
      <formula1>ISNUMBER(C67:C70)</formula1>
    </dataValidation>
    <dataValidation type="custom" allowBlank="1" showInputMessage="1" showErrorMessage="1" error="Please enter a numeric value. " sqref="C242 C252 C262" xr:uid="{E6549C6E-2C78-4527-82E0-06A4C09C20D1}">
      <formula1>ISNUMBER(C242)</formula1>
    </dataValidation>
    <dataValidation type="custom" allowBlank="1" showInputMessage="1" showErrorMessage="1" error="Please enter a numeric value. " sqref="C272:C274" xr:uid="{642DA7B4-9450-45EF-AB57-E5D7B2E5510B}">
      <formula1>ISNUMBER(C272:C274)</formula1>
    </dataValidation>
    <dataValidation type="custom" allowBlank="1" showInputMessage="1" showErrorMessage="1" error="Please enter a numeric value. " sqref="C280:C284" xr:uid="{6344A858-EBD8-4759-AC98-7D9AE7E1102D}">
      <formula1>ISNUMBER(C280:C284)</formula1>
    </dataValidation>
    <dataValidation type="custom" allowBlank="1" showInputMessage="1" showErrorMessage="1" error="Please enter a numeric value. " sqref="C290:C295" xr:uid="{F69D8F52-0B19-46A5-9260-83B2B3CF84A8}">
      <formula1>ISNUMBER(C290:C295)</formula1>
    </dataValidation>
    <dataValidation type="decimal" allowBlank="1" showInputMessage="1" showErrorMessage="1" error="Please enter a valid percentage." sqref="D301:D303" xr:uid="{4A4D7927-AEDD-472E-BD83-8996FAA9D4D8}">
      <formula1>0</formula1>
      <formula2>100</formula2>
    </dataValidation>
    <dataValidation type="custom" allowBlank="1" showInputMessage="1" showErrorMessage="1" error="Please enter a numeric value. " sqref="C331:D334" xr:uid="{66DEDB01-E104-4C5F-AB69-F0C53DB9780F}">
      <formula1>ISNUMBER(C331:D334)</formula1>
    </dataValidation>
    <dataValidation type="custom" allowBlank="1" showInputMessage="1" showErrorMessage="1" error="Please enter a numeric value. " sqref="C223" xr:uid="{62671FEC-B000-4A2F-A82E-D99A3DE2FB3E}">
      <formula1>ISNUMBER(C223:C230)</formula1>
    </dataValidation>
    <dataValidation type="custom" allowBlank="1" showInputMessage="1" showErrorMessage="1" error="Please enter a numeric value. " sqref="C231" xr:uid="{B30808BD-7EB6-41AC-8389-5781CD39F54C}">
      <formula1>ISNUMBER(C231:C243)</formula1>
    </dataValidation>
    <dataValidation type="custom" allowBlank="1" showInputMessage="1" showErrorMessage="1" error="Please enter a numeric value. " sqref="C224" xr:uid="{239F15C2-372C-4E47-ACAE-B4F4A26CA023}">
      <formula1>ISNUMBER(C224:C232)</formula1>
    </dataValidation>
    <dataValidation type="custom" allowBlank="1" showInputMessage="1" showErrorMessage="1" error="Please enter a numeric value. " sqref="C225:C229" xr:uid="{2145F97E-D4B6-4860-BE77-6966EB6453E0}">
      <formula1>ISNUMBER(C225:C234)</formula1>
    </dataValidation>
    <dataValidation type="custom" allowBlank="1" showInputMessage="1" showErrorMessage="1" error="Please enter a numeric value. " sqref="C230" xr:uid="{776AA5D0-D52A-4EF3-A56B-4321A1865DDF}">
      <formula1>ISNUMBER(C230:C240)</formula1>
    </dataValidation>
    <dataValidation type="list" allowBlank="1" showInputMessage="1" showErrorMessage="1" sqref="E272:E274" xr:uid="{8AA3B946-72AE-4399-A836-EA71973C7F49}">
      <formula1>#REF!</formula1>
    </dataValidation>
  </dataValidations>
  <hyperlinks>
    <hyperlink ref="B4" location="Information" display="Return to Information" xr:uid="{611CBA55-EC85-4771-B52A-EE4E661A897F}"/>
    <hyperlink ref="B6" location="Summary_BESS" display="Summary Page" xr:uid="{81B09D4C-EB87-47C1-B72E-4A093223EF56}"/>
  </hyperlinks>
  <pageMargins left="0.7" right="0.7" top="0.75" bottom="0.75" header="0.3" footer="0.3"/>
  <extLst>
    <ext xmlns:x14="http://schemas.microsoft.com/office/spreadsheetml/2009/9/main" uri="{CCE6A557-97BC-4b89-ADB6-D9C93CAAB3DF}">
      <x14:dataValidations xmlns:xm="http://schemas.microsoft.com/office/excel/2006/main" count="13">
        <x14:dataValidation type="list" allowBlank="1" showInputMessage="1" showErrorMessage="1" xr:uid="{7B34301C-10B5-44CF-B8EE-E1C705BC5FB7}">
          <x14:formula1>
            <xm:f>'Cost Schedule'!$B$236:$B$246</xm:f>
          </x14:formula1>
          <xm:sqref>E235 E233</xm:sqref>
        </x14:dataValidation>
        <x14:dataValidation type="list" allowBlank="1" showInputMessage="1" showErrorMessage="1" xr:uid="{94F2FFD9-226F-4C54-AAFB-9F69B96FD3CA}">
          <x14:formula1>
            <xm:f>'Cost Schedule'!$B$427:$B$429</xm:f>
          </x14:formula1>
          <xm:sqref>E49:E53</xm:sqref>
        </x14:dataValidation>
        <x14:dataValidation type="list" allowBlank="1" showInputMessage="1" showErrorMessage="1" xr:uid="{5D5EFE54-CB80-4252-96FB-2911E1127EC6}">
          <x14:formula1>
            <xm:f>'Cost Schedule'!$B$43:$B$45</xm:f>
          </x14:formula1>
          <xm:sqref>E234</xm:sqref>
        </x14:dataValidation>
        <x14:dataValidation type="list" allowBlank="1" showInputMessage="1" showErrorMessage="1" xr:uid="{A93C95CC-FC0B-4094-96DD-C6170178A23B}">
          <x14:formula1>
            <xm:f>Lists!$B$164:$B$166</xm:f>
          </x14:formula1>
          <xm:sqref>F113:F121 F127:F128</xm:sqref>
        </x14:dataValidation>
        <x14:dataValidation type="list" allowBlank="1" showInputMessage="1" showErrorMessage="1" xr:uid="{8D5E11FD-CE72-46C0-A911-D98A595F37C2}">
          <x14:formula1>
            <xm:f>Lists!$B$33:$B$35</xm:f>
          </x14:formula1>
          <xm:sqref>F90:F107</xm:sqref>
        </x14:dataValidation>
        <x14:dataValidation type="list" allowBlank="1" showInputMessage="1" showErrorMessage="1" xr:uid="{B31203EA-7300-4484-A235-33EAAB16C5D9}">
          <x14:formula1>
            <xm:f>'Cost Schedule'!$B$212:$B$214</xm:f>
          </x14:formula1>
          <xm:sqref>E113:E121</xm:sqref>
        </x14:dataValidation>
        <x14:dataValidation type="list" allowBlank="1" showInputMessage="1" showErrorMessage="1" xr:uid="{D4A15BAA-F790-4A97-A914-C09D779DE233}">
          <x14:formula1>
            <xm:f>Rates!$B$134:$B$135</xm:f>
          </x14:formula1>
          <xm:sqref>E207 E216</xm:sqref>
        </x14:dataValidation>
        <x14:dataValidation type="list" allowBlank="1" showInputMessage="1" showErrorMessage="1" xr:uid="{501A0CFF-2361-4138-B110-10EC4F2FB469}">
          <x14:formula1>
            <xm:f>'Cost Schedule'!$B$6:$B$8</xm:f>
          </x14:formula1>
          <xm:sqref>E127:E128</xm:sqref>
        </x14:dataValidation>
        <x14:dataValidation type="list" allowBlank="1" showInputMessage="1" showErrorMessage="1" xr:uid="{3992798E-957F-499E-9221-601B8BA34C9B}">
          <x14:formula1>
            <xm:f>Assumptions!$B$45:$B$49</xm:f>
          </x14:formula1>
          <xm:sqref>E33</xm:sqref>
        </x14:dataValidation>
        <x14:dataValidation type="list" allowBlank="1" showInputMessage="1" showErrorMessage="1" xr:uid="{CD715CF3-EF4E-4DBE-A778-A65230CFF43F}">
          <x14:formula1>
            <xm:f>Assumptions!$B$33:$B$34</xm:f>
          </x14:formula1>
          <xm:sqref>E28</xm:sqref>
        </x14:dataValidation>
        <x14:dataValidation type="list" allowBlank="1" showInputMessage="1" showErrorMessage="1" xr:uid="{64251D66-C38E-485C-B8E2-CC070D392AF3}">
          <x14:formula1>
            <xm:f>Assumptions!$B$35:$B$42</xm:f>
          </x14:formula1>
          <xm:sqref>E29:E30</xm:sqref>
        </x14:dataValidation>
        <x14:dataValidation type="list" allowBlank="1" showInputMessage="1" showErrorMessage="1" xr:uid="{54C53D34-8632-494D-A4D2-77E2F9ADCD3A}">
          <x14:formula1>
            <xm:f>Assumptions!$B$43:$B$44</xm:f>
          </x14:formula1>
          <xm:sqref>E31:E32</xm:sqref>
        </x14:dataValidation>
        <x14:dataValidation type="list" allowBlank="1" showInputMessage="1" showErrorMessage="1" xr:uid="{646DD6B5-834B-4C65-AA86-F09EA97153FC}">
          <x14:formula1>
            <xm:f>'Cost Schedule'!$B$30:$B$34</xm:f>
          </x14:formula1>
          <xm:sqref>E134:E138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4744B-E4A8-43A9-A18A-DA011D174F1D}">
  <sheetPr codeName="Sheet8">
    <tabColor theme="9"/>
  </sheetPr>
  <dimension ref="A2:L284"/>
  <sheetViews>
    <sheetView showGridLines="0" zoomScale="85" zoomScaleNormal="85" workbookViewId="0">
      <pane xSplit="4" ySplit="8" topLeftCell="E9" activePane="bottomRight" state="frozen"/>
      <selection pane="topRight" activeCell="E1" sqref="E1"/>
      <selection pane="bottomLeft" activeCell="A10" sqref="A10"/>
      <selection pane="bottomRight"/>
    </sheetView>
  </sheetViews>
  <sheetFormatPr defaultColWidth="8.7265625" defaultRowHeight="12.5"/>
  <cols>
    <col min="1" max="1" width="1.81640625" style="238" customWidth="1"/>
    <col min="2" max="2" width="53.81640625" style="238" customWidth="1"/>
    <col min="3" max="3" width="13.7265625" style="238" customWidth="1"/>
    <col min="4" max="4" width="21" style="238" customWidth="1"/>
    <col min="5" max="5" width="62.7265625" style="238" customWidth="1"/>
    <col min="6" max="6" width="14.54296875" style="238" customWidth="1"/>
    <col min="7" max="7" width="13.26953125" style="238" customWidth="1"/>
    <col min="8" max="8" width="12.54296875" style="238" customWidth="1"/>
    <col min="9" max="9" width="14" style="238" customWidth="1"/>
    <col min="10" max="10" width="14.81640625" style="238" customWidth="1"/>
    <col min="11" max="11" width="15.81640625" style="238" customWidth="1"/>
    <col min="12" max="12" width="53.453125" style="238" customWidth="1"/>
    <col min="13" max="16384" width="8.7265625" style="238"/>
  </cols>
  <sheetData>
    <row r="2" spans="2:12" ht="16.5" customHeight="1">
      <c r="B2" s="237" t="str">
        <f>Project_Name</f>
        <v xml:space="preserve">South Australia Hydrogen and Renewable Energy Restoration Cost Estimation Tool </v>
      </c>
      <c r="J2" s="249" t="s">
        <v>56</v>
      </c>
      <c r="K2" s="99">
        <f>SUM(K22,K30,K39,K47,K55,K67,K90,K104,K111,K121,K131,K151,K168,K181,K199,K210,K220,K230,K238,K248,K267,K259)</f>
        <v>0</v>
      </c>
      <c r="L2" s="100"/>
    </row>
    <row r="3" spans="2:12" ht="3" customHeight="1">
      <c r="J3" s="249"/>
    </row>
    <row r="4" spans="2:12" ht="16.5" customHeight="1">
      <c r="B4" s="36" t="s">
        <v>31</v>
      </c>
      <c r="J4" s="249" t="s">
        <v>57</v>
      </c>
      <c r="K4" s="35">
        <f>K283</f>
        <v>0</v>
      </c>
    </row>
    <row r="5" spans="2:12" ht="3" customHeight="1">
      <c r="J5" s="249"/>
    </row>
    <row r="6" spans="2:12" ht="18" customHeight="1">
      <c r="B6" s="36" t="s">
        <v>1280</v>
      </c>
      <c r="E6" s="248"/>
      <c r="F6" s="248"/>
      <c r="G6" s="248"/>
      <c r="H6" s="248"/>
      <c r="I6" s="248"/>
      <c r="J6" s="249" t="s">
        <v>58</v>
      </c>
      <c r="K6" s="35">
        <f>K2-K4</f>
        <v>0</v>
      </c>
    </row>
    <row r="7" spans="2:12" ht="3" customHeight="1">
      <c r="E7" s="238" t="s">
        <v>432</v>
      </c>
    </row>
    <row r="8" spans="2:12" ht="17.25" customHeight="1">
      <c r="B8" s="216" t="s">
        <v>1151</v>
      </c>
      <c r="C8" s="216"/>
      <c r="D8" s="216"/>
      <c r="E8" s="216"/>
      <c r="F8" s="216"/>
      <c r="G8" s="216"/>
      <c r="H8" s="216"/>
      <c r="I8" s="216"/>
      <c r="J8" s="216"/>
      <c r="K8" s="216"/>
      <c r="L8" s="216" t="s">
        <v>59</v>
      </c>
    </row>
    <row r="9" spans="2:12" ht="13">
      <c r="B9" s="260"/>
      <c r="C9" s="260"/>
      <c r="D9" s="260"/>
      <c r="G9" s="260"/>
      <c r="H9" s="260"/>
      <c r="I9" s="260"/>
      <c r="J9" s="260"/>
      <c r="K9" s="260"/>
      <c r="L9" s="260"/>
    </row>
    <row r="10" spans="2:12" ht="13">
      <c r="B10" s="217" t="s">
        <v>60</v>
      </c>
      <c r="C10" s="217"/>
      <c r="D10" s="217"/>
      <c r="E10" s="217"/>
      <c r="F10" s="217"/>
      <c r="G10" s="217"/>
      <c r="H10" s="217"/>
      <c r="I10" s="217"/>
      <c r="J10" s="217"/>
      <c r="K10" s="217"/>
      <c r="L10" s="217"/>
    </row>
    <row r="11" spans="2:12" ht="13">
      <c r="B11" s="37" t="s">
        <v>1184</v>
      </c>
      <c r="C11" s="67"/>
      <c r="D11" s="238" t="s">
        <v>62</v>
      </c>
      <c r="G11" s="260"/>
      <c r="H11" s="260"/>
      <c r="I11" s="260"/>
      <c r="J11" s="260"/>
      <c r="K11" s="260"/>
      <c r="L11" s="70"/>
    </row>
    <row r="12" spans="2:12" ht="13">
      <c r="B12" s="37" t="s">
        <v>63</v>
      </c>
      <c r="C12" s="67"/>
      <c r="D12" s="238" t="s">
        <v>1183</v>
      </c>
      <c r="G12" s="260"/>
      <c r="H12" s="260"/>
      <c r="I12" s="260"/>
      <c r="J12" s="260"/>
      <c r="K12" s="260"/>
      <c r="L12" s="70"/>
    </row>
    <row r="13" spans="2:12" ht="13">
      <c r="B13" s="37" t="s">
        <v>1182</v>
      </c>
      <c r="C13" s="67"/>
      <c r="D13" s="238" t="s">
        <v>64</v>
      </c>
      <c r="G13" s="260"/>
      <c r="H13" s="260"/>
      <c r="I13" s="260"/>
      <c r="J13" s="260"/>
      <c r="K13" s="260"/>
      <c r="L13" s="70"/>
    </row>
    <row r="14" spans="2:12" ht="25">
      <c r="B14" s="37" t="s">
        <v>1149</v>
      </c>
      <c r="C14" s="68" t="s">
        <v>436</v>
      </c>
      <c r="G14" s="260"/>
      <c r="H14" s="260"/>
      <c r="I14" s="260"/>
      <c r="J14" s="260"/>
      <c r="K14" s="260"/>
      <c r="L14" s="70"/>
    </row>
    <row r="15" spans="2:12" ht="13">
      <c r="B15" s="37" t="s">
        <v>437</v>
      </c>
      <c r="C15" s="69"/>
      <c r="D15" s="238" t="s">
        <v>134</v>
      </c>
      <c r="G15" s="260"/>
      <c r="H15" s="260"/>
      <c r="I15" s="260"/>
      <c r="J15" s="260"/>
      <c r="K15" s="260"/>
      <c r="L15" s="70"/>
    </row>
    <row r="16" spans="2:12" ht="13">
      <c r="B16" s="37" t="s">
        <v>1186</v>
      </c>
      <c r="C16" s="67"/>
      <c r="D16" s="238" t="s">
        <v>1187</v>
      </c>
      <c r="G16" s="260"/>
      <c r="H16" s="260"/>
      <c r="I16" s="260"/>
      <c r="J16" s="260"/>
      <c r="K16" s="260"/>
      <c r="L16" s="70"/>
    </row>
    <row r="17" spans="1:12">
      <c r="L17" s="70"/>
    </row>
    <row r="18" spans="1:12" ht="13">
      <c r="B18" s="217" t="s">
        <v>1185</v>
      </c>
      <c r="C18" s="217"/>
      <c r="D18" s="217"/>
      <c r="E18" s="217"/>
      <c r="F18" s="217"/>
      <c r="G18" s="217"/>
      <c r="H18" s="217"/>
      <c r="I18" s="217"/>
      <c r="J18" s="217"/>
      <c r="K18" s="217"/>
      <c r="L18" s="217"/>
    </row>
    <row r="19" spans="1:12" ht="20.25" customHeight="1">
      <c r="B19" s="261" t="s">
        <v>71</v>
      </c>
      <c r="C19" s="262" t="s">
        <v>72</v>
      </c>
      <c r="D19" s="262" t="s">
        <v>51</v>
      </c>
      <c r="E19" s="260"/>
      <c r="G19" s="263" t="s">
        <v>50</v>
      </c>
      <c r="H19" s="263" t="s">
        <v>73</v>
      </c>
      <c r="I19" s="263" t="s">
        <v>74</v>
      </c>
      <c r="J19" s="263" t="s">
        <v>75</v>
      </c>
      <c r="K19" s="263" t="s">
        <v>76</v>
      </c>
      <c r="L19" s="70"/>
    </row>
    <row r="20" spans="1:12" ht="13">
      <c r="B20" s="37" t="str">
        <f>'Cost Schedule'!B58</f>
        <v>GreenH2 disconnect from power supply</v>
      </c>
      <c r="C20" s="69"/>
      <c r="D20" s="238" t="s">
        <v>77</v>
      </c>
      <c r="E20" s="257"/>
      <c r="F20" s="264"/>
      <c r="G20" s="38">
        <f>'Cost Schedule'!C58</f>
        <v>2032.8097350179319</v>
      </c>
      <c r="H20" s="72"/>
      <c r="I20" s="39">
        <f>IF(H20="",G20,H20)</f>
        <v>2032.8097350179319</v>
      </c>
      <c r="J20" s="238" t="s">
        <v>78</v>
      </c>
      <c r="K20" s="45">
        <f>I20*C20</f>
        <v>0</v>
      </c>
      <c r="L20" s="73"/>
    </row>
    <row r="21" spans="1:12" s="214" customFormat="1">
      <c r="C21" s="328"/>
      <c r="L21" s="70"/>
    </row>
    <row r="22" spans="1:12" s="214" customFormat="1" ht="13">
      <c r="B22" s="220" t="s">
        <v>79</v>
      </c>
      <c r="C22" s="101">
        <f>SUM(C19:C21)</f>
        <v>0</v>
      </c>
      <c r="D22" s="238" t="s">
        <v>77</v>
      </c>
      <c r="H22" s="275" t="str">
        <f>CONCATENATE("Cost to ",B18)</f>
        <v>Cost to Disconnect from power supply</v>
      </c>
      <c r="I22" s="39">
        <f>IF(C22=0,0,K22/C22)</f>
        <v>0</v>
      </c>
      <c r="J22" s="266" t="s">
        <v>439</v>
      </c>
      <c r="K22" s="102">
        <f>SUM(K19:K21)</f>
        <v>0</v>
      </c>
      <c r="L22" s="73"/>
    </row>
    <row r="23" spans="1:12" s="214" customFormat="1" ht="13">
      <c r="B23" s="220"/>
      <c r="C23" s="110"/>
      <c r="D23" s="238"/>
      <c r="L23" s="73"/>
    </row>
    <row r="24" spans="1:12" s="257" customFormat="1" ht="13">
      <c r="A24" s="214"/>
      <c r="B24" s="217" t="s">
        <v>1150</v>
      </c>
      <c r="C24" s="217"/>
      <c r="D24" s="217"/>
      <c r="E24" s="217"/>
      <c r="F24" s="217"/>
      <c r="G24" s="217"/>
      <c r="H24" s="217"/>
      <c r="I24" s="217"/>
      <c r="J24" s="217"/>
      <c r="K24" s="217"/>
      <c r="L24" s="217"/>
    </row>
    <row r="25" spans="1:12" s="257" customFormat="1" ht="20.25" customHeight="1">
      <c r="B25" s="296" t="s">
        <v>71</v>
      </c>
      <c r="C25" s="297" t="s">
        <v>72</v>
      </c>
      <c r="D25" s="297" t="s">
        <v>51</v>
      </c>
      <c r="E25" s="297" t="s">
        <v>83</v>
      </c>
      <c r="F25" s="297"/>
      <c r="G25" s="298" t="s">
        <v>50</v>
      </c>
      <c r="H25" s="298" t="s">
        <v>73</v>
      </c>
      <c r="I25" s="298" t="s">
        <v>74</v>
      </c>
      <c r="J25" s="298" t="s">
        <v>75</v>
      </c>
      <c r="K25" s="298" t="s">
        <v>76</v>
      </c>
      <c r="L25" s="82"/>
    </row>
    <row r="26" spans="1:12" s="257" customFormat="1" ht="13">
      <c r="B26" s="64" t="str">
        <f>'Cost Schedule'!B48</f>
        <v>GreenH2 small (&lt;=50MW)</v>
      </c>
      <c r="C26" s="69"/>
      <c r="D26" s="257" t="str">
        <f>'Cost Schedule'!D48</f>
        <v>plant</v>
      </c>
      <c r="G26" s="47">
        <f>'Cost Schedule'!C48</f>
        <v>100000</v>
      </c>
      <c r="H26" s="72"/>
      <c r="I26" s="48">
        <f>IF(H26="",G26,H26)</f>
        <v>100000</v>
      </c>
      <c r="J26" s="257" t="str">
        <f>'Cost Schedule'!D48</f>
        <v>plant</v>
      </c>
      <c r="K26" s="45">
        <f>I26*C26</f>
        <v>0</v>
      </c>
      <c r="L26" s="73"/>
    </row>
    <row r="27" spans="1:12" s="257" customFormat="1" ht="13">
      <c r="B27" s="64" t="str">
        <f>'Cost Schedule'!B49</f>
        <v>GreenH2 medium (50 to 500MW)</v>
      </c>
      <c r="C27" s="69"/>
      <c r="D27" s="257" t="str">
        <f>'Cost Schedule'!D49</f>
        <v>plant</v>
      </c>
      <c r="G27" s="47">
        <f>'Cost Schedule'!C49</f>
        <v>250000</v>
      </c>
      <c r="H27" s="72"/>
      <c r="I27" s="48">
        <f t="shared" ref="I27:I28" si="0">IF(H27="",G27,H27)</f>
        <v>250000</v>
      </c>
      <c r="J27" s="257" t="str">
        <f>'Cost Schedule'!D49</f>
        <v>plant</v>
      </c>
      <c r="K27" s="45">
        <f t="shared" ref="K27:K28" si="1">I27*C27</f>
        <v>0</v>
      </c>
      <c r="L27" s="73"/>
    </row>
    <row r="28" spans="1:12" s="257" customFormat="1" ht="13">
      <c r="B28" s="64" t="str">
        <f>'Cost Schedule'!B50</f>
        <v>GreenH2 large (&gt; 500MW)</v>
      </c>
      <c r="C28" s="69"/>
      <c r="D28" s="257" t="str">
        <f>'Cost Schedule'!D50</f>
        <v>plant</v>
      </c>
      <c r="G28" s="47">
        <f>'Cost Schedule'!C50</f>
        <v>500000</v>
      </c>
      <c r="H28" s="72"/>
      <c r="I28" s="48">
        <f t="shared" si="0"/>
        <v>500000</v>
      </c>
      <c r="J28" s="257" t="str">
        <f>'Cost Schedule'!D50</f>
        <v>plant</v>
      </c>
      <c r="K28" s="45">
        <f t="shared" si="1"/>
        <v>0</v>
      </c>
      <c r="L28" s="82"/>
    </row>
    <row r="29" spans="1:12" s="257" customFormat="1">
      <c r="C29" s="342"/>
      <c r="K29" s="238"/>
      <c r="L29" s="82"/>
    </row>
    <row r="30" spans="1:12" s="257" customFormat="1" ht="13">
      <c r="B30" s="302" t="str">
        <f>B$22</f>
        <v>Totals</v>
      </c>
      <c r="C30" s="333">
        <f>SUM(C25:C29)</f>
        <v>0</v>
      </c>
      <c r="D30" s="257" t="s">
        <v>1196</v>
      </c>
      <c r="H30" s="275" t="str">
        <f>CONCATENATE("Cost to ",B24)</f>
        <v>Cost to Depressurise and remove residual hydrogen gas</v>
      </c>
      <c r="I30" s="50">
        <f>IF(C30=0,0,K30/C30)</f>
        <v>0</v>
      </c>
      <c r="J30" s="276" t="s">
        <v>1197</v>
      </c>
      <c r="K30" s="43">
        <f>SUM(K25:K29)</f>
        <v>0</v>
      </c>
      <c r="L30" s="82"/>
    </row>
    <row r="31" spans="1:12" s="257" customFormat="1">
      <c r="L31" s="82"/>
    </row>
    <row r="32" spans="1:12" ht="13">
      <c r="A32" s="257"/>
      <c r="B32" s="217" t="s">
        <v>1305</v>
      </c>
      <c r="C32" s="217"/>
      <c r="D32" s="217"/>
      <c r="E32" s="217"/>
      <c r="F32" s="217"/>
      <c r="G32" s="217"/>
      <c r="H32" s="217"/>
      <c r="I32" s="217"/>
      <c r="J32" s="217"/>
      <c r="K32" s="217"/>
      <c r="L32" s="217"/>
    </row>
    <row r="33" spans="2:12" ht="21" customHeight="1">
      <c r="B33" s="261" t="s">
        <v>71</v>
      </c>
      <c r="C33" s="262" t="s">
        <v>72</v>
      </c>
      <c r="D33" s="262" t="s">
        <v>51</v>
      </c>
      <c r="E33" s="264" t="s">
        <v>323</v>
      </c>
      <c r="F33" s="264"/>
      <c r="G33" s="263" t="s">
        <v>50</v>
      </c>
      <c r="H33" s="263" t="s">
        <v>73</v>
      </c>
      <c r="I33" s="263" t="s">
        <v>74</v>
      </c>
      <c r="J33" s="263" t="s">
        <v>75</v>
      </c>
      <c r="K33" s="263" t="s">
        <v>76</v>
      </c>
      <c r="L33" s="70"/>
    </row>
    <row r="34" spans="2:12" ht="13">
      <c r="B34" s="64" t="str">
        <f>'Cost Schedule'!B72</f>
        <v>Remove and dispose liquids</v>
      </c>
      <c r="C34" s="67"/>
      <c r="D34" s="238" t="s">
        <v>1202</v>
      </c>
      <c r="E34" s="334" t="str">
        <f>C$14</f>
        <v>Select make and model</v>
      </c>
      <c r="G34" s="38">
        <f>'Cost Schedule'!C72</f>
        <v>18.8</v>
      </c>
      <c r="H34" s="72"/>
      <c r="I34" s="39">
        <f t="shared" ref="I34:I37" si="2">IF(H34="",G34,H34)</f>
        <v>18.8</v>
      </c>
      <c r="J34" s="238" t="s">
        <v>353</v>
      </c>
      <c r="K34" s="45">
        <f t="shared" ref="K34" si="3">C34*I34</f>
        <v>0</v>
      </c>
      <c r="L34" s="73"/>
    </row>
    <row r="35" spans="2:12" ht="13">
      <c r="B35" s="64" t="str">
        <f>'Cost Schedule'!B73</f>
        <v xml:space="preserve">Disconnect and remove modules  / skids / containers unit rates </v>
      </c>
      <c r="C35" s="67"/>
      <c r="D35" s="238" t="s">
        <v>1203</v>
      </c>
      <c r="G35" s="38">
        <f>'Cost Schedule'!C73</f>
        <v>7205.1178801434544</v>
      </c>
      <c r="H35" s="72"/>
      <c r="I35" s="39">
        <f t="shared" si="2"/>
        <v>7205.1178801434544</v>
      </c>
      <c r="J35" s="238" t="s">
        <v>1199</v>
      </c>
      <c r="K35" s="45">
        <f>C35*I35</f>
        <v>0</v>
      </c>
      <c r="L35" s="70"/>
    </row>
    <row r="36" spans="2:12" ht="13">
      <c r="B36" s="64" t="str">
        <f>'Cost Schedule'!B74</f>
        <v xml:space="preserve">Disconnect and remove modules  / skids / containers unit rates </v>
      </c>
      <c r="C36" s="67"/>
      <c r="D36" s="238" t="s">
        <v>1204</v>
      </c>
      <c r="G36" s="38">
        <f>'Cost Schedule'!C74</f>
        <v>12871.676820215182</v>
      </c>
      <c r="H36" s="72"/>
      <c r="I36" s="39">
        <f t="shared" si="2"/>
        <v>12871.676820215182</v>
      </c>
      <c r="J36" s="238" t="s">
        <v>1199</v>
      </c>
      <c r="K36" s="45">
        <f>C36*I36</f>
        <v>0</v>
      </c>
      <c r="L36" s="73"/>
    </row>
    <row r="37" spans="2:12" ht="13">
      <c r="B37" s="64" t="s">
        <v>1205</v>
      </c>
      <c r="C37" s="313">
        <f>_xlfn.XLOOKUP(E37,Long_haul_names_modules_UR,Load_haul_dump_modules_distance_avg)*C$15</f>
        <v>0</v>
      </c>
      <c r="D37" s="238" t="s">
        <v>447</v>
      </c>
      <c r="E37" s="76" t="s">
        <v>1206</v>
      </c>
      <c r="G37" s="38">
        <f>_xlfn.XLOOKUP(E37,Long_haul_names_modules_UR,Long_haul_rates_modules_UR)</f>
        <v>152.75201845444062</v>
      </c>
      <c r="H37" s="72"/>
      <c r="I37" s="39">
        <f t="shared" si="2"/>
        <v>152.75201845444062</v>
      </c>
      <c r="J37" s="238" t="s">
        <v>447</v>
      </c>
      <c r="K37" s="45">
        <f>C37*I37</f>
        <v>0</v>
      </c>
      <c r="L37" s="70"/>
    </row>
    <row r="38" spans="2:12">
      <c r="C38" s="286"/>
      <c r="K38" s="282"/>
      <c r="L38" s="73"/>
    </row>
    <row r="39" spans="2:12" ht="13">
      <c r="B39" s="302" t="str">
        <f>B$22</f>
        <v>Totals</v>
      </c>
      <c r="C39" s="333">
        <f>C$15</f>
        <v>0</v>
      </c>
      <c r="D39" s="238" t="s">
        <v>438</v>
      </c>
      <c r="H39" s="275" t="str">
        <f>CONCATENATE("Cost to ",B32)</f>
        <v>Cost to Drain, remove and transport electrolysers</v>
      </c>
      <c r="I39" s="39">
        <f>IF(C39=0,0,K39/C39)</f>
        <v>0</v>
      </c>
      <c r="J39" s="266" t="s">
        <v>452</v>
      </c>
      <c r="K39" s="102">
        <f>SUM(K33:K38)</f>
        <v>0</v>
      </c>
      <c r="L39" s="70"/>
    </row>
    <row r="40" spans="2:12">
      <c r="L40" s="73"/>
    </row>
    <row r="41" spans="2:12" ht="13">
      <c r="B41" s="217" t="s">
        <v>1227</v>
      </c>
      <c r="C41" s="217"/>
      <c r="D41" s="217"/>
      <c r="E41" s="217"/>
      <c r="F41" s="217"/>
      <c r="G41" s="217"/>
      <c r="H41" s="217"/>
      <c r="I41" s="217"/>
      <c r="J41" s="217"/>
      <c r="K41" s="217"/>
      <c r="L41" s="217"/>
    </row>
    <row r="42" spans="2:12" ht="22.5" customHeight="1">
      <c r="B42" s="261" t="s">
        <v>71</v>
      </c>
      <c r="C42" s="262" t="s">
        <v>72</v>
      </c>
      <c r="D42" s="262" t="s">
        <v>51</v>
      </c>
      <c r="E42" s="264" t="s">
        <v>323</v>
      </c>
      <c r="F42" s="264"/>
      <c r="G42" s="263" t="s">
        <v>50</v>
      </c>
      <c r="H42" s="263" t="s">
        <v>73</v>
      </c>
      <c r="I42" s="263" t="s">
        <v>74</v>
      </c>
      <c r="J42" s="263" t="s">
        <v>75</v>
      </c>
      <c r="K42" s="263" t="s">
        <v>76</v>
      </c>
      <c r="L42" s="70"/>
    </row>
    <row r="43" spans="2:12">
      <c r="B43" s="105" t="s">
        <v>1212</v>
      </c>
      <c r="C43" s="67"/>
      <c r="D43" s="238" t="s">
        <v>1210</v>
      </c>
      <c r="E43" s="334" t="str">
        <f>C$14</f>
        <v>Select make and model</v>
      </c>
      <c r="L43" s="73"/>
    </row>
    <row r="44" spans="2:12" ht="13">
      <c r="B44" s="105" t="s">
        <v>1214</v>
      </c>
      <c r="C44" s="69"/>
      <c r="D44" s="238" t="s">
        <v>1213</v>
      </c>
      <c r="G44" s="38">
        <f>'Cost Schedule'!C75</f>
        <v>10797.117880143454</v>
      </c>
      <c r="H44" s="72"/>
      <c r="I44" s="39">
        <f t="shared" ref="I44:I45" si="4">IF(H44="",G44,H44)</f>
        <v>10797.117880143454</v>
      </c>
      <c r="J44" s="238" t="s">
        <v>1196</v>
      </c>
      <c r="K44" s="45">
        <f>C44*I44</f>
        <v>0</v>
      </c>
      <c r="L44" s="70"/>
    </row>
    <row r="45" spans="2:12" ht="13">
      <c r="B45" s="105" t="s">
        <v>1215</v>
      </c>
      <c r="C45" s="111">
        <f>C44</f>
        <v>0</v>
      </c>
      <c r="D45" s="238" t="s">
        <v>1216</v>
      </c>
      <c r="E45" s="76" t="s">
        <v>448</v>
      </c>
      <c r="G45" s="38">
        <f>_xlfn.XLOOKUP(E45,Long_haul_names_modules_UR,Long_haul_rates_modules_UR)</f>
        <v>217.63783160322956</v>
      </c>
      <c r="H45" s="72"/>
      <c r="I45" s="39">
        <f t="shared" si="4"/>
        <v>217.63783160322956</v>
      </c>
      <c r="J45" s="238" t="s">
        <v>1196</v>
      </c>
      <c r="K45" s="45">
        <f>C45*I45</f>
        <v>0</v>
      </c>
      <c r="L45" s="73"/>
    </row>
    <row r="46" spans="2:12">
      <c r="C46" s="335"/>
      <c r="K46" s="282"/>
      <c r="L46" s="73"/>
    </row>
    <row r="47" spans="2:12" ht="13">
      <c r="B47" s="302" t="str">
        <f>B$22</f>
        <v>Totals</v>
      </c>
      <c r="C47" s="333">
        <f>C44</f>
        <v>0</v>
      </c>
      <c r="D47" s="238" t="s">
        <v>438</v>
      </c>
      <c r="H47" s="275" t="str">
        <f>CONCATENATE("Cost to ",B41)</f>
        <v>Cost to Drain, remove and transport water supply and purification</v>
      </c>
      <c r="I47" s="39">
        <f>IF(C47=0,0,K47/C47)</f>
        <v>0</v>
      </c>
      <c r="J47" s="266" t="s">
        <v>452</v>
      </c>
      <c r="K47" s="102">
        <f>SUM(K42:K46)</f>
        <v>0</v>
      </c>
      <c r="L47" s="70"/>
    </row>
    <row r="48" spans="2:12">
      <c r="L48" s="73"/>
    </row>
    <row r="49" spans="2:12" ht="13">
      <c r="B49" s="217" t="s">
        <v>1228</v>
      </c>
      <c r="C49" s="217"/>
      <c r="D49" s="217"/>
      <c r="E49" s="217"/>
      <c r="F49" s="217"/>
      <c r="G49" s="217"/>
      <c r="H49" s="217"/>
      <c r="I49" s="217"/>
      <c r="J49" s="217"/>
      <c r="K49" s="217"/>
      <c r="L49" s="217"/>
    </row>
    <row r="50" spans="2:12" ht="22.5" customHeight="1">
      <c r="B50" s="261" t="s">
        <v>71</v>
      </c>
      <c r="C50" s="262" t="s">
        <v>72</v>
      </c>
      <c r="D50" s="262" t="s">
        <v>51</v>
      </c>
      <c r="E50" s="264" t="s">
        <v>323</v>
      </c>
      <c r="F50" s="264"/>
      <c r="G50" s="263" t="s">
        <v>50</v>
      </c>
      <c r="H50" s="263" t="s">
        <v>73</v>
      </c>
      <c r="I50" s="263" t="s">
        <v>74</v>
      </c>
      <c r="J50" s="263" t="s">
        <v>75</v>
      </c>
      <c r="K50" s="263" t="s">
        <v>76</v>
      </c>
      <c r="L50" s="70"/>
    </row>
    <row r="51" spans="2:12" ht="13">
      <c r="B51" s="105" t="s">
        <v>1221</v>
      </c>
      <c r="C51" s="69"/>
      <c r="D51" s="238" t="s">
        <v>1220</v>
      </c>
      <c r="G51" s="38">
        <f>'Cost Schedule'!C76</f>
        <v>8797.5978801434539</v>
      </c>
      <c r="H51" s="72"/>
      <c r="I51" s="39">
        <f t="shared" ref="I51" si="5">IF(H51="",G51,H51)</f>
        <v>8797.5978801434539</v>
      </c>
      <c r="J51" s="238" t="s">
        <v>1225</v>
      </c>
      <c r="K51" s="45">
        <f>C51*I51</f>
        <v>0</v>
      </c>
      <c r="L51" s="73"/>
    </row>
    <row r="52" spans="2:12">
      <c r="B52" s="105" t="s">
        <v>1229</v>
      </c>
      <c r="C52" s="65">
        <f>_xlfn.XLOOKUP(E53,Long_haul_names_modules_UR,Load_haul_dump_modules_distance_avg)</f>
        <v>12.5</v>
      </c>
      <c r="D52" s="238" t="s">
        <v>86</v>
      </c>
      <c r="L52" s="73"/>
    </row>
    <row r="53" spans="2:12" ht="13">
      <c r="B53" s="105" t="s">
        <v>1224</v>
      </c>
      <c r="C53" s="111">
        <f>C52*C51</f>
        <v>0</v>
      </c>
      <c r="D53" s="238" t="s">
        <v>1220</v>
      </c>
      <c r="E53" s="76" t="s">
        <v>448</v>
      </c>
      <c r="G53" s="47">
        <f>_xlfn.XLOOKUP(E53,Long_haul_names_modules_UR,Load_haul_dump_modules_distance_avg)</f>
        <v>12.5</v>
      </c>
      <c r="H53" s="72"/>
      <c r="I53" s="39">
        <f t="shared" ref="I53" si="6">IF(H53="",G53,H53)</f>
        <v>12.5</v>
      </c>
      <c r="J53" s="238" t="s">
        <v>1225</v>
      </c>
      <c r="K53" s="45">
        <f>C53*I53</f>
        <v>0</v>
      </c>
      <c r="L53" s="70"/>
    </row>
    <row r="54" spans="2:12">
      <c r="C54" s="335"/>
      <c r="K54" s="282"/>
      <c r="L54" s="73"/>
    </row>
    <row r="55" spans="2:12" ht="13">
      <c r="B55" s="302" t="str">
        <f>B$22</f>
        <v>Totals</v>
      </c>
      <c r="C55" s="333">
        <f>C51</f>
        <v>0</v>
      </c>
      <c r="D55" s="238" t="s">
        <v>1220</v>
      </c>
      <c r="H55" s="275" t="str">
        <f>CONCATENATE("Cost to ",B49)</f>
        <v>Cost to Remove and transport hydrogen compressors</v>
      </c>
      <c r="I55" s="39">
        <f>IF(C55=0,0,K55/C55)</f>
        <v>0</v>
      </c>
      <c r="J55" s="266" t="s">
        <v>452</v>
      </c>
      <c r="K55" s="102">
        <f>SUM(K50:K54)</f>
        <v>0</v>
      </c>
      <c r="L55" s="70"/>
    </row>
    <row r="56" spans="2:12">
      <c r="L56" s="73"/>
    </row>
    <row r="57" spans="2:12" ht="13">
      <c r="B57" s="217" t="s">
        <v>1306</v>
      </c>
      <c r="C57" s="217"/>
      <c r="D57" s="217"/>
      <c r="E57" s="217"/>
      <c r="F57" s="217"/>
      <c r="G57" s="217"/>
      <c r="H57" s="217"/>
      <c r="I57" s="217"/>
      <c r="J57" s="217"/>
      <c r="K57" s="217"/>
      <c r="L57" s="217"/>
    </row>
    <row r="58" spans="2:12" ht="22.5" customHeight="1">
      <c r="B58" s="261" t="s">
        <v>71</v>
      </c>
      <c r="C58" s="262" t="s">
        <v>72</v>
      </c>
      <c r="D58" s="262" t="s">
        <v>51</v>
      </c>
      <c r="E58" s="264" t="s">
        <v>323</v>
      </c>
      <c r="F58" s="264"/>
      <c r="G58" s="263" t="s">
        <v>50</v>
      </c>
      <c r="H58" s="263" t="s">
        <v>73</v>
      </c>
      <c r="I58" s="263" t="s">
        <v>74</v>
      </c>
      <c r="J58" s="263" t="s">
        <v>75</v>
      </c>
      <c r="K58" s="263" t="s">
        <v>76</v>
      </c>
      <c r="L58" s="70"/>
    </row>
    <row r="59" spans="2:12" ht="13">
      <c r="B59" s="64" t="str">
        <f>'Cost Schedule'!B77</f>
        <v>Horizontal, Steel wall, Skid base, Single skin, 0.1t</v>
      </c>
      <c r="C59" s="71"/>
      <c r="D59" s="238" t="s">
        <v>1308</v>
      </c>
      <c r="G59" s="38">
        <f>'Cost Schedule'!C77</f>
        <v>26794.29553213578</v>
      </c>
      <c r="H59" s="72"/>
      <c r="I59" s="39">
        <f t="shared" ref="I59" si="7">IF(H59="",G59,H59)</f>
        <v>26794.29553213578</v>
      </c>
      <c r="J59" s="238" t="s">
        <v>1307</v>
      </c>
      <c r="K59" s="45">
        <f>C59*I59</f>
        <v>0</v>
      </c>
      <c r="L59" s="73"/>
    </row>
    <row r="60" spans="2:12" ht="13">
      <c r="B60" s="64" t="str">
        <f>'Cost Schedule'!B78</f>
        <v>Horizontal, Steel wall, Skid base, Single skin, 0.5t</v>
      </c>
      <c r="C60" s="71"/>
      <c r="D60" s="238" t="s">
        <v>1308</v>
      </c>
      <c r="G60" s="38">
        <f>'Cost Schedule'!C78</f>
        <v>27174.802235475989</v>
      </c>
      <c r="H60" s="72"/>
      <c r="I60" s="39">
        <f t="shared" ref="I60:I65" si="8">IF(H60="",G60,H60)</f>
        <v>27174.802235475989</v>
      </c>
      <c r="J60" s="238" t="s">
        <v>1307</v>
      </c>
      <c r="K60" s="45">
        <f t="shared" ref="K60:K65" si="9">C60*I60</f>
        <v>0</v>
      </c>
      <c r="L60" s="73"/>
    </row>
    <row r="61" spans="2:12" ht="13">
      <c r="B61" s="64" t="str">
        <f>'Cost Schedule'!B79</f>
        <v>Horizontal, Steel wall, Skid base, Double skin, 1t</v>
      </c>
      <c r="C61" s="71"/>
      <c r="D61" s="238" t="s">
        <v>1308</v>
      </c>
      <c r="G61" s="38">
        <f>'Cost Schedule'!C79</f>
        <v>31359.102582228137</v>
      </c>
      <c r="H61" s="72"/>
      <c r="I61" s="39">
        <f t="shared" si="8"/>
        <v>31359.102582228137</v>
      </c>
      <c r="J61" s="238" t="s">
        <v>1307</v>
      </c>
      <c r="K61" s="45">
        <f t="shared" si="9"/>
        <v>0</v>
      </c>
      <c r="L61" s="73"/>
    </row>
    <row r="62" spans="2:12" ht="13">
      <c r="B62" s="64" t="str">
        <f>'Cost Schedule'!B80</f>
        <v>Horizontal, Steel wall, Skid base, Double skin, 2t</v>
      </c>
      <c r="C62" s="71"/>
      <c r="D62" s="238" t="s">
        <v>1308</v>
      </c>
      <c r="G62" s="38">
        <f>'Cost Schedule'!C80</f>
        <v>38073.151749195466</v>
      </c>
      <c r="H62" s="72"/>
      <c r="I62" s="39">
        <f t="shared" si="8"/>
        <v>38073.151749195466</v>
      </c>
      <c r="J62" s="238" t="s">
        <v>1307</v>
      </c>
      <c r="K62" s="45">
        <f t="shared" si="9"/>
        <v>0</v>
      </c>
      <c r="L62" s="73"/>
    </row>
    <row r="63" spans="2:12" ht="13">
      <c r="B63" s="64" t="str">
        <f>'Cost Schedule'!B81</f>
        <v>Horizontal, Steel wall, Skid base, Double skin, 5t</v>
      </c>
      <c r="C63" s="71"/>
      <c r="D63" s="238" t="s">
        <v>1308</v>
      </c>
      <c r="G63" s="38">
        <f>'Cost Schedule'!C81</f>
        <v>50345.425389625831</v>
      </c>
      <c r="H63" s="72"/>
      <c r="I63" s="39">
        <f t="shared" si="8"/>
        <v>50345.425389625831</v>
      </c>
      <c r="J63" s="238" t="s">
        <v>1307</v>
      </c>
      <c r="K63" s="45">
        <f t="shared" si="9"/>
        <v>0</v>
      </c>
      <c r="L63" s="73"/>
    </row>
    <row r="64" spans="2:12" ht="13">
      <c r="B64" s="64" t="str">
        <f>'Cost Schedule'!B82</f>
        <v>Horizontal, Steel wall, Skid base, Double skin, 10t</v>
      </c>
      <c r="C64" s="71"/>
      <c r="D64" s="238" t="s">
        <v>1308</v>
      </c>
      <c r="G64" s="38">
        <f>'Cost Schedule'!C82</f>
        <v>114276.46252499503</v>
      </c>
      <c r="H64" s="72"/>
      <c r="I64" s="39">
        <f t="shared" si="8"/>
        <v>114276.46252499503</v>
      </c>
      <c r="J64" s="238" t="s">
        <v>1307</v>
      </c>
      <c r="K64" s="45">
        <f t="shared" si="9"/>
        <v>0</v>
      </c>
      <c r="L64" s="73"/>
    </row>
    <row r="65" spans="2:12" ht="13">
      <c r="B65" s="64" t="str">
        <f>'Cost Schedule'!B83</f>
        <v>Horizontal, Steel wall, Skid base, Double skin, 20t</v>
      </c>
      <c r="C65" s="71"/>
      <c r="D65" s="238" t="s">
        <v>1308</v>
      </c>
      <c r="G65" s="38">
        <f>'Cost Schedule'!C83</f>
        <v>223698.04974862267</v>
      </c>
      <c r="H65" s="72"/>
      <c r="I65" s="39">
        <f t="shared" si="8"/>
        <v>223698.04974862267</v>
      </c>
      <c r="J65" s="238" t="s">
        <v>1307</v>
      </c>
      <c r="K65" s="45">
        <f t="shared" si="9"/>
        <v>0</v>
      </c>
      <c r="L65" s="73"/>
    </row>
    <row r="66" spans="2:12">
      <c r="C66" s="345"/>
      <c r="K66" s="282"/>
      <c r="L66" s="73"/>
    </row>
    <row r="67" spans="2:12" ht="13">
      <c r="B67" s="302" t="str">
        <f>B$22</f>
        <v>Totals</v>
      </c>
      <c r="C67" s="346">
        <f>SUM(C59:C65)</f>
        <v>0</v>
      </c>
      <c r="D67" s="238" t="s">
        <v>1308</v>
      </c>
      <c r="H67" s="275" t="str">
        <f>CONCATENATE("Cost to ",B57)</f>
        <v>Cost to Demolish hydrogen storage tanks</v>
      </c>
      <c r="I67" s="39">
        <f>IF(C67=0,0,K67/C67)</f>
        <v>0</v>
      </c>
      <c r="J67" s="266" t="s">
        <v>1309</v>
      </c>
      <c r="K67" s="102">
        <f>SUM(K58:K66)</f>
        <v>0</v>
      </c>
      <c r="L67" s="70"/>
    </row>
    <row r="68" spans="2:12">
      <c r="L68" s="73"/>
    </row>
    <row r="69" spans="2:12" ht="13">
      <c r="B69" s="217" t="s">
        <v>1230</v>
      </c>
      <c r="C69" s="217"/>
      <c r="D69" s="217"/>
      <c r="E69" s="217"/>
      <c r="F69" s="217"/>
      <c r="G69" s="217"/>
      <c r="H69" s="217"/>
      <c r="I69" s="217"/>
      <c r="J69" s="217"/>
      <c r="K69" s="217"/>
      <c r="L69" s="217"/>
    </row>
    <row r="70" spans="2:12" ht="22.5" customHeight="1">
      <c r="B70" s="261" t="s">
        <v>71</v>
      </c>
      <c r="C70" s="262" t="s">
        <v>72</v>
      </c>
      <c r="D70" s="262" t="s">
        <v>51</v>
      </c>
      <c r="E70" s="264" t="s">
        <v>83</v>
      </c>
      <c r="F70" s="264"/>
      <c r="G70" s="263" t="s">
        <v>50</v>
      </c>
      <c r="H70" s="263" t="s">
        <v>73</v>
      </c>
      <c r="I70" s="263" t="s">
        <v>74</v>
      </c>
      <c r="J70" s="263" t="s">
        <v>75</v>
      </c>
      <c r="K70" s="263" t="s">
        <v>76</v>
      </c>
      <c r="L70" s="70"/>
    </row>
    <row r="71" spans="2:12" ht="13">
      <c r="B71" s="37" t="s">
        <v>144</v>
      </c>
      <c r="C71" s="67"/>
      <c r="D71" s="238" t="s">
        <v>62</v>
      </c>
      <c r="E71" s="74" t="s">
        <v>145</v>
      </c>
      <c r="F71" s="8" t="s">
        <v>146</v>
      </c>
      <c r="G71" s="38" cm="1">
        <f t="array" ref="G71">_xlfn.XLOOKUP(1,('Cost Schedule'!$B$391:$B$408='Green Hydrogen'!E71)*('Cost Schedule'!$A$391:$A$408='Green Hydrogen'!F71),'Cost Schedule'!$C$391:$C$408)</f>
        <v>972.51262045565204</v>
      </c>
      <c r="H71" s="72"/>
      <c r="I71" s="39">
        <f t="shared" ref="I71:I88" si="10">IF(H71="",G71,H71)</f>
        <v>972.51262045565204</v>
      </c>
      <c r="J71" s="238" t="s">
        <v>62</v>
      </c>
      <c r="K71" s="45">
        <f t="shared" ref="K71:K88" si="11">I71*C71</f>
        <v>0</v>
      </c>
      <c r="L71" s="73"/>
    </row>
    <row r="72" spans="2:12" s="214" customFormat="1" ht="13">
      <c r="B72" s="37" t="s">
        <v>147</v>
      </c>
      <c r="C72" s="67"/>
      <c r="D72" s="238" t="s">
        <v>62</v>
      </c>
      <c r="E72" s="74" t="s">
        <v>145</v>
      </c>
      <c r="F72" s="8" t="s">
        <v>148</v>
      </c>
      <c r="G72" s="38" cm="1">
        <f t="array" ref="G72">_xlfn.XLOOKUP(1,('Cost Schedule'!$B$391:$B$408='Green Hydrogen'!E72)*('Cost Schedule'!$A$391:$A$408='Green Hydrogen'!F72),'Cost Schedule'!$C$391:$C$408)</f>
        <v>1329.512620455652</v>
      </c>
      <c r="H72" s="72"/>
      <c r="I72" s="39">
        <f t="shared" si="10"/>
        <v>1329.512620455652</v>
      </c>
      <c r="J72" s="238" t="s">
        <v>62</v>
      </c>
      <c r="K72" s="45">
        <f t="shared" si="11"/>
        <v>0</v>
      </c>
      <c r="L72" s="73"/>
    </row>
    <row r="73" spans="2:12" s="214" customFormat="1" ht="13">
      <c r="B73" s="37" t="s">
        <v>149</v>
      </c>
      <c r="C73" s="67"/>
      <c r="D73" s="238" t="s">
        <v>62</v>
      </c>
      <c r="E73" s="74" t="s">
        <v>150</v>
      </c>
      <c r="F73" s="8" t="s">
        <v>148</v>
      </c>
      <c r="G73" s="38" cm="1">
        <f t="array" ref="G73">_xlfn.XLOOKUP(1,('Cost Schedule'!$B$391:$B$408='Green Hydrogen'!E73)*('Cost Schedule'!$A$391:$A$408='Green Hydrogen'!F73),'Cost Schedule'!$C$391:$C$408)</f>
        <v>4484.795132993283</v>
      </c>
      <c r="H73" s="72"/>
      <c r="I73" s="39">
        <f t="shared" si="10"/>
        <v>4484.795132993283</v>
      </c>
      <c r="J73" s="238" t="s">
        <v>62</v>
      </c>
      <c r="K73" s="45">
        <f t="shared" si="11"/>
        <v>0</v>
      </c>
      <c r="L73" s="73"/>
    </row>
    <row r="74" spans="2:12" s="214" customFormat="1" ht="13">
      <c r="B74" s="37" t="s">
        <v>151</v>
      </c>
      <c r="C74" s="67"/>
      <c r="D74" s="238" t="s">
        <v>62</v>
      </c>
      <c r="E74" s="74" t="s">
        <v>152</v>
      </c>
      <c r="F74" s="8" t="s">
        <v>148</v>
      </c>
      <c r="G74" s="38" cm="1">
        <f t="array" ref="G74">_xlfn.XLOOKUP(1,('Cost Schedule'!$B$391:$B$408='Green Hydrogen'!E74)*('Cost Schedule'!$A$391:$A$408='Green Hydrogen'!F74),'Cost Schedule'!$C$391:$C$408)</f>
        <v>2659.0252409113041</v>
      </c>
      <c r="H74" s="72"/>
      <c r="I74" s="39">
        <f t="shared" si="10"/>
        <v>2659.0252409113041</v>
      </c>
      <c r="J74" s="238" t="s">
        <v>62</v>
      </c>
      <c r="K74" s="45">
        <f t="shared" si="11"/>
        <v>0</v>
      </c>
      <c r="L74" s="73"/>
    </row>
    <row r="75" spans="2:12" s="214" customFormat="1" ht="13">
      <c r="B75" s="37" t="s">
        <v>153</v>
      </c>
      <c r="C75" s="67"/>
      <c r="D75" s="238" t="s">
        <v>62</v>
      </c>
      <c r="E75" s="74" t="s">
        <v>152</v>
      </c>
      <c r="F75" s="8" t="s">
        <v>146</v>
      </c>
      <c r="G75" s="38" cm="1">
        <f t="array" ref="G75">_xlfn.XLOOKUP(1,('Cost Schedule'!$B$391:$B$408='Green Hydrogen'!E75)*('Cost Schedule'!$A$391:$A$408='Green Hydrogen'!F75),'Cost Schedule'!$C$391:$C$408)</f>
        <v>1945.0252409113041</v>
      </c>
      <c r="H75" s="72"/>
      <c r="I75" s="39">
        <f t="shared" si="10"/>
        <v>1945.0252409113041</v>
      </c>
      <c r="J75" s="238" t="s">
        <v>62</v>
      </c>
      <c r="K75" s="45">
        <f t="shared" si="11"/>
        <v>0</v>
      </c>
      <c r="L75" s="73"/>
    </row>
    <row r="76" spans="2:12" s="214" customFormat="1" ht="13">
      <c r="B76" s="37" t="s">
        <v>154</v>
      </c>
      <c r="C76" s="67"/>
      <c r="D76" s="238" t="s">
        <v>62</v>
      </c>
      <c r="E76" s="74" t="s">
        <v>152</v>
      </c>
      <c r="F76" s="8" t="s">
        <v>148</v>
      </c>
      <c r="G76" s="38" cm="1">
        <f t="array" ref="G76">_xlfn.XLOOKUP(1,('Cost Schedule'!$B$391:$B$408='Green Hydrogen'!E76)*('Cost Schedule'!$A$391:$A$408='Green Hydrogen'!F76),'Cost Schedule'!$C$391:$C$408)</f>
        <v>2659.0252409113041</v>
      </c>
      <c r="H76" s="72"/>
      <c r="I76" s="39">
        <f t="shared" si="10"/>
        <v>2659.0252409113041</v>
      </c>
      <c r="J76" s="238" t="s">
        <v>62</v>
      </c>
      <c r="K76" s="45">
        <f t="shared" si="11"/>
        <v>0</v>
      </c>
      <c r="L76" s="73"/>
    </row>
    <row r="77" spans="2:12" s="214" customFormat="1" ht="13">
      <c r="B77" s="37" t="s">
        <v>155</v>
      </c>
      <c r="C77" s="67"/>
      <c r="D77" s="238" t="s">
        <v>62</v>
      </c>
      <c r="E77" s="74" t="s">
        <v>156</v>
      </c>
      <c r="F77" s="8" t="s">
        <v>157</v>
      </c>
      <c r="G77" s="38" cm="1">
        <f t="array" ref="G77">_xlfn.XLOOKUP(1,('Cost Schedule'!$B$391:$B$408='Green Hydrogen'!E77)*('Cost Schedule'!$A$391:$A$408='Green Hydrogen'!F77),'Cost Schedule'!$C$391:$C$408)</f>
        <v>1976.9455913838397</v>
      </c>
      <c r="H77" s="72"/>
      <c r="I77" s="39">
        <f t="shared" si="10"/>
        <v>1976.9455913838397</v>
      </c>
      <c r="J77" s="238" t="s">
        <v>62</v>
      </c>
      <c r="K77" s="45">
        <f t="shared" si="11"/>
        <v>0</v>
      </c>
      <c r="L77" s="73"/>
    </row>
    <row r="78" spans="2:12" s="214" customFormat="1" ht="13">
      <c r="B78" s="37" t="s">
        <v>158</v>
      </c>
      <c r="C78" s="67"/>
      <c r="D78" s="238" t="s">
        <v>62</v>
      </c>
      <c r="E78" s="74" t="s">
        <v>156</v>
      </c>
      <c r="F78" s="8" t="s">
        <v>146</v>
      </c>
      <c r="G78" s="38" cm="1">
        <f t="array" ref="G78">_xlfn.XLOOKUP(1,('Cost Schedule'!$B$391:$B$408='Green Hydrogen'!E78)*('Cost Schedule'!$A$391:$A$408='Green Hydrogen'!F78),'Cost Schedule'!$C$391:$C$408)</f>
        <v>2865.6821279782307</v>
      </c>
      <c r="H78" s="72"/>
      <c r="I78" s="39">
        <f t="shared" si="10"/>
        <v>2865.6821279782307</v>
      </c>
      <c r="J78" s="238" t="s">
        <v>62</v>
      </c>
      <c r="K78" s="45">
        <f t="shared" si="11"/>
        <v>0</v>
      </c>
      <c r="L78" s="73"/>
    </row>
    <row r="79" spans="2:12" s="214" customFormat="1" ht="13">
      <c r="B79" s="37" t="s">
        <v>159</v>
      </c>
      <c r="C79" s="67"/>
      <c r="D79" s="238" t="s">
        <v>62</v>
      </c>
      <c r="E79" s="74" t="s">
        <v>156</v>
      </c>
      <c r="F79" s="8" t="s">
        <v>148</v>
      </c>
      <c r="G79" s="38" cm="1">
        <f t="array" ref="G79">_xlfn.XLOOKUP(1,('Cost Schedule'!$B$391:$B$408='Green Hydrogen'!E79)*('Cost Schedule'!$A$391:$A$408='Green Hydrogen'!F79),'Cost Schedule'!$C$391:$C$408)</f>
        <v>3222.6821279782307</v>
      </c>
      <c r="H79" s="72"/>
      <c r="I79" s="39">
        <f t="shared" si="10"/>
        <v>3222.6821279782307</v>
      </c>
      <c r="J79" s="238" t="s">
        <v>62</v>
      </c>
      <c r="K79" s="45">
        <f t="shared" si="11"/>
        <v>0</v>
      </c>
      <c r="L79" s="73"/>
    </row>
    <row r="80" spans="2:12" s="214" customFormat="1" ht="13">
      <c r="B80" s="37" t="s">
        <v>160</v>
      </c>
      <c r="C80" s="67"/>
      <c r="D80" s="238" t="s">
        <v>62</v>
      </c>
      <c r="E80" s="74" t="s">
        <v>161</v>
      </c>
      <c r="F80" s="8" t="s">
        <v>157</v>
      </c>
      <c r="G80" s="38" cm="1">
        <f t="array" ref="G80">_xlfn.XLOOKUP(1,('Cost Schedule'!$B$391:$B$408='Green Hydrogen'!E80)*('Cost Schedule'!$A$391:$A$408='Green Hydrogen'!F80),'Cost Schedule'!$C$391:$C$408)</f>
        <v>3953.8911827676793</v>
      </c>
      <c r="H80" s="72"/>
      <c r="I80" s="39">
        <f t="shared" si="10"/>
        <v>3953.8911827676793</v>
      </c>
      <c r="J80" s="238" t="s">
        <v>62</v>
      </c>
      <c r="K80" s="45">
        <f t="shared" si="11"/>
        <v>0</v>
      </c>
      <c r="L80" s="73"/>
    </row>
    <row r="81" spans="2:12" s="214" customFormat="1" ht="13">
      <c r="B81" s="37" t="s">
        <v>162</v>
      </c>
      <c r="C81" s="67"/>
      <c r="D81" s="238" t="s">
        <v>62</v>
      </c>
      <c r="E81" s="74" t="s">
        <v>161</v>
      </c>
      <c r="F81" s="8" t="s">
        <v>146</v>
      </c>
      <c r="G81" s="38" cm="1">
        <f t="array" ref="G81">_xlfn.XLOOKUP(1,('Cost Schedule'!$B$391:$B$408='Green Hydrogen'!E81)*('Cost Schedule'!$A$391:$A$408='Green Hydrogen'!F81),'Cost Schedule'!$C$391:$C$408)</f>
        <v>5731.3642559564614</v>
      </c>
      <c r="H81" s="72"/>
      <c r="I81" s="39">
        <f t="shared" si="10"/>
        <v>5731.3642559564614</v>
      </c>
      <c r="J81" s="238" t="s">
        <v>62</v>
      </c>
      <c r="K81" s="45">
        <f t="shared" si="11"/>
        <v>0</v>
      </c>
      <c r="L81" s="73"/>
    </row>
    <row r="82" spans="2:12" s="214" customFormat="1" ht="13">
      <c r="B82" s="37" t="s">
        <v>163</v>
      </c>
      <c r="C82" s="67"/>
      <c r="D82" s="238" t="s">
        <v>62</v>
      </c>
      <c r="E82" s="74" t="s">
        <v>161</v>
      </c>
      <c r="F82" s="8" t="s">
        <v>148</v>
      </c>
      <c r="G82" s="38" cm="1">
        <f t="array" ref="G82">_xlfn.XLOOKUP(1,('Cost Schedule'!$B$391:$B$408='Green Hydrogen'!E82)*('Cost Schedule'!$A$391:$A$408='Green Hydrogen'!F82),'Cost Schedule'!$C$391:$C$408)</f>
        <v>6445.3642559564614</v>
      </c>
      <c r="H82" s="72"/>
      <c r="I82" s="39">
        <f t="shared" si="10"/>
        <v>6445.3642559564614</v>
      </c>
      <c r="J82" s="238" t="s">
        <v>62</v>
      </c>
      <c r="K82" s="45">
        <f t="shared" si="11"/>
        <v>0</v>
      </c>
      <c r="L82" s="73"/>
    </row>
    <row r="83" spans="2:12" s="214" customFormat="1" ht="13">
      <c r="B83" s="37" t="s">
        <v>164</v>
      </c>
      <c r="C83" s="67"/>
      <c r="D83" s="238" t="s">
        <v>62</v>
      </c>
      <c r="E83" s="74" t="s">
        <v>150</v>
      </c>
      <c r="F83" s="8" t="s">
        <v>157</v>
      </c>
      <c r="G83" s="38" cm="1">
        <f t="array" ref="G83">_xlfn.XLOOKUP(1,('Cost Schedule'!$B$391:$B$408='Green Hydrogen'!E83)*('Cost Schedule'!$A$391:$A$408='Green Hydrogen'!F83),'Cost Schedule'!$C$391:$C$408)</f>
        <v>3239.0585963988915</v>
      </c>
      <c r="H83" s="72"/>
      <c r="I83" s="39">
        <f t="shared" si="10"/>
        <v>3239.0585963988915</v>
      </c>
      <c r="J83" s="238" t="s">
        <v>62</v>
      </c>
      <c r="K83" s="45">
        <f t="shared" si="11"/>
        <v>0</v>
      </c>
      <c r="L83" s="73"/>
    </row>
    <row r="84" spans="2:12" s="214" customFormat="1" ht="13">
      <c r="B84" s="37" t="s">
        <v>165</v>
      </c>
      <c r="C84" s="67"/>
      <c r="D84" s="238" t="s">
        <v>62</v>
      </c>
      <c r="E84" s="74" t="s">
        <v>150</v>
      </c>
      <c r="F84" s="8" t="s">
        <v>146</v>
      </c>
      <c r="G84" s="38" cm="1">
        <f t="array" ref="G84">_xlfn.XLOOKUP(1,('Cost Schedule'!$B$391:$B$408='Green Hydrogen'!E84)*('Cost Schedule'!$A$391:$A$408='Green Hydrogen'!F84),'Cost Schedule'!$C$391:$C$408)</f>
        <v>4127.795132993283</v>
      </c>
      <c r="H84" s="72"/>
      <c r="I84" s="39">
        <f t="shared" si="10"/>
        <v>4127.795132993283</v>
      </c>
      <c r="J84" s="238" t="s">
        <v>62</v>
      </c>
      <c r="K84" s="45">
        <f t="shared" si="11"/>
        <v>0</v>
      </c>
      <c r="L84" s="73"/>
    </row>
    <row r="85" spans="2:12" s="214" customFormat="1" ht="13">
      <c r="B85" s="37" t="s">
        <v>166</v>
      </c>
      <c r="C85" s="67"/>
      <c r="D85" s="238" t="s">
        <v>62</v>
      </c>
      <c r="E85" s="74" t="s">
        <v>150</v>
      </c>
      <c r="F85" s="8" t="s">
        <v>148</v>
      </c>
      <c r="G85" s="38" cm="1">
        <f t="array" ref="G85">_xlfn.XLOOKUP(1,('Cost Schedule'!$B$391:$B$408='Green Hydrogen'!E85)*('Cost Schedule'!$A$391:$A$408='Green Hydrogen'!F85),'Cost Schedule'!$C$391:$C$408)</f>
        <v>4484.795132993283</v>
      </c>
      <c r="H85" s="72"/>
      <c r="I85" s="39">
        <f t="shared" si="10"/>
        <v>4484.795132993283</v>
      </c>
      <c r="J85" s="238" t="s">
        <v>62</v>
      </c>
      <c r="K85" s="45">
        <f t="shared" si="11"/>
        <v>0</v>
      </c>
      <c r="L85" s="73"/>
    </row>
    <row r="86" spans="2:12" s="214" customFormat="1" ht="13">
      <c r="B86" s="37" t="s">
        <v>167</v>
      </c>
      <c r="C86" s="67"/>
      <c r="D86" s="238" t="s">
        <v>62</v>
      </c>
      <c r="E86" s="74" t="s">
        <v>168</v>
      </c>
      <c r="F86" s="8" t="s">
        <v>157</v>
      </c>
      <c r="G86" s="38" cm="1">
        <f t="array" ref="G86">_xlfn.XLOOKUP(1,('Cost Schedule'!$B$391:$B$408='Green Hydrogen'!E86)*('Cost Schedule'!$A$391:$A$408='Green Hydrogen'!F86),'Cost Schedule'!$C$391:$C$408)</f>
        <v>6478.117192797783</v>
      </c>
      <c r="H86" s="72"/>
      <c r="I86" s="39">
        <f t="shared" si="10"/>
        <v>6478.117192797783</v>
      </c>
      <c r="J86" s="238" t="s">
        <v>62</v>
      </c>
      <c r="K86" s="45">
        <f t="shared" si="11"/>
        <v>0</v>
      </c>
      <c r="L86" s="73"/>
    </row>
    <row r="87" spans="2:12" s="214" customFormat="1" ht="13">
      <c r="B87" s="37" t="s">
        <v>169</v>
      </c>
      <c r="C87" s="67"/>
      <c r="D87" s="238" t="s">
        <v>62</v>
      </c>
      <c r="E87" s="74" t="s">
        <v>168</v>
      </c>
      <c r="F87" s="8" t="s">
        <v>146</v>
      </c>
      <c r="G87" s="38" cm="1">
        <f t="array" ref="G87">_xlfn.XLOOKUP(1,('Cost Schedule'!$B$391:$B$408='Green Hydrogen'!E87)*('Cost Schedule'!$A$391:$A$408='Green Hydrogen'!F87),'Cost Schedule'!$C$391:$C$408)</f>
        <v>8255.590265986566</v>
      </c>
      <c r="H87" s="72"/>
      <c r="I87" s="39">
        <f t="shared" si="10"/>
        <v>8255.590265986566</v>
      </c>
      <c r="J87" s="238" t="s">
        <v>62</v>
      </c>
      <c r="K87" s="45">
        <f t="shared" si="11"/>
        <v>0</v>
      </c>
      <c r="L87" s="73"/>
    </row>
    <row r="88" spans="2:12" s="214" customFormat="1" ht="13">
      <c r="B88" s="37" t="s">
        <v>170</v>
      </c>
      <c r="C88" s="67"/>
      <c r="D88" s="238" t="s">
        <v>62</v>
      </c>
      <c r="E88" s="74" t="s">
        <v>168</v>
      </c>
      <c r="F88" s="8" t="s">
        <v>148</v>
      </c>
      <c r="G88" s="38" cm="1">
        <f t="array" ref="G88">_xlfn.XLOOKUP(1,('Cost Schedule'!$B$391:$B$408='Green Hydrogen'!E88)*('Cost Schedule'!$A$391:$A$408='Green Hydrogen'!F88),'Cost Schedule'!$C$391:$C$408)</f>
        <v>8969.590265986566</v>
      </c>
      <c r="H88" s="72"/>
      <c r="I88" s="39">
        <f t="shared" si="10"/>
        <v>8969.590265986566</v>
      </c>
      <c r="J88" s="238" t="s">
        <v>62</v>
      </c>
      <c r="K88" s="45">
        <f t="shared" si="11"/>
        <v>0</v>
      </c>
      <c r="L88" s="73"/>
    </row>
    <row r="89" spans="2:12" s="214" customFormat="1">
      <c r="C89" s="336"/>
      <c r="E89" s="238"/>
      <c r="F89" s="238"/>
      <c r="I89" s="332"/>
      <c r="L89" s="73"/>
    </row>
    <row r="90" spans="2:12" ht="13">
      <c r="B90" s="220" t="str">
        <f>B$22</f>
        <v>Totals</v>
      </c>
      <c r="C90" s="313">
        <f>SUM(C70:C89)</f>
        <v>0</v>
      </c>
      <c r="D90" s="238" t="s">
        <v>62</v>
      </c>
      <c r="H90" s="275" t="str">
        <f>CONCATENATE("Cost to ",B69)</f>
        <v>Cost to Decommission tracks and roads and rehabilitate</v>
      </c>
      <c r="I90" s="39">
        <f>IF(C90=0,0,K90/C90)</f>
        <v>0</v>
      </c>
      <c r="J90" s="266" t="s">
        <v>249</v>
      </c>
      <c r="K90" s="102">
        <f>SUM(K70:K89)</f>
        <v>0</v>
      </c>
      <c r="L90" s="73"/>
    </row>
    <row r="91" spans="2:12">
      <c r="C91" s="284"/>
      <c r="L91" s="73"/>
    </row>
    <row r="92" spans="2:12" ht="13">
      <c r="B92" s="217" t="s">
        <v>1231</v>
      </c>
      <c r="C92" s="217"/>
      <c r="D92" s="217"/>
      <c r="E92" s="217"/>
      <c r="F92" s="217"/>
      <c r="G92" s="217"/>
      <c r="H92" s="217"/>
      <c r="I92" s="217"/>
      <c r="J92" s="217"/>
      <c r="K92" s="217"/>
      <c r="L92" s="217"/>
    </row>
    <row r="93" spans="2:12" ht="22.5" customHeight="1">
      <c r="B93" s="261" t="s">
        <v>71</v>
      </c>
      <c r="C93" s="262" t="s">
        <v>72</v>
      </c>
      <c r="D93" s="262" t="s">
        <v>51</v>
      </c>
      <c r="E93" s="264" t="s">
        <v>83</v>
      </c>
      <c r="F93" s="264"/>
      <c r="G93" s="263" t="s">
        <v>50</v>
      </c>
      <c r="H93" s="263" t="s">
        <v>73</v>
      </c>
      <c r="I93" s="263" t="s">
        <v>74</v>
      </c>
      <c r="J93" s="263" t="s">
        <v>75</v>
      </c>
      <c r="K93" s="263" t="s">
        <v>76</v>
      </c>
      <c r="L93" s="73"/>
    </row>
    <row r="94" spans="2:12" ht="13">
      <c r="B94" s="37" t="s">
        <v>174</v>
      </c>
      <c r="C94" s="67"/>
      <c r="D94" s="238" t="s">
        <v>62</v>
      </c>
      <c r="E94" s="74" t="s">
        <v>175</v>
      </c>
      <c r="F94" s="8" t="s">
        <v>148</v>
      </c>
      <c r="G94" s="38" cm="1">
        <f t="array" ref="G94">_xlfn.XLOOKUP(1,('Cost Schedule'!$B$212:$B$220='Green Hydrogen'!E94)*('Cost Schedule'!$A$212:$A$220='Green Hydrogen'!F94),'Cost Schedule'!$C$212:$C$220)</f>
        <v>4785.51258101035</v>
      </c>
      <c r="H94" s="72"/>
      <c r="I94" s="39">
        <f t="shared" ref="I94:I102" si="12">IF(H94="",G94,H94)</f>
        <v>4785.51258101035</v>
      </c>
      <c r="J94" s="238" t="s">
        <v>62</v>
      </c>
      <c r="K94" s="45">
        <f t="shared" ref="K94" si="13">I94*C94</f>
        <v>0</v>
      </c>
      <c r="L94" s="73"/>
    </row>
    <row r="95" spans="2:12" s="214" customFormat="1" ht="13">
      <c r="B95" s="37" t="s">
        <v>176</v>
      </c>
      <c r="C95" s="67"/>
      <c r="D95" s="238" t="s">
        <v>62</v>
      </c>
      <c r="E95" s="74" t="s">
        <v>177</v>
      </c>
      <c r="F95" s="8" t="s">
        <v>148</v>
      </c>
      <c r="G95" s="38" cm="1">
        <f t="array" ref="G95">_xlfn.XLOOKUP(1,('Cost Schedule'!$B$212:$B$220='Green Hydrogen'!E95)*('Cost Schedule'!$A$212:$A$220='Green Hydrogen'!F95),'Cost Schedule'!$C$212:$C$220)</f>
        <v>17406.642631160877</v>
      </c>
      <c r="H95" s="72"/>
      <c r="I95" s="39">
        <f t="shared" si="12"/>
        <v>17406.642631160877</v>
      </c>
      <c r="J95" s="238" t="s">
        <v>62</v>
      </c>
      <c r="K95" s="45">
        <f>I95*C95</f>
        <v>0</v>
      </c>
      <c r="L95" s="73"/>
    </row>
    <row r="96" spans="2:12" s="214" customFormat="1" ht="13">
      <c r="B96" s="37" t="s">
        <v>178</v>
      </c>
      <c r="C96" s="67"/>
      <c r="D96" s="238" t="s">
        <v>62</v>
      </c>
      <c r="E96" s="74" t="s">
        <v>179</v>
      </c>
      <c r="F96" s="8" t="s">
        <v>148</v>
      </c>
      <c r="G96" s="38" cm="1">
        <f t="array" ref="G96">_xlfn.XLOOKUP(1,('Cost Schedule'!$B$212:$B$220='Green Hydrogen'!E96)*('Cost Schedule'!$A$212:$A$220='Green Hydrogen'!F96),'Cost Schedule'!$C$212:$C$220)</f>
        <v>51738.299644863699</v>
      </c>
      <c r="H96" s="72"/>
      <c r="I96" s="39">
        <f t="shared" si="12"/>
        <v>51738.299644863699</v>
      </c>
      <c r="J96" s="238" t="s">
        <v>62</v>
      </c>
      <c r="K96" s="45">
        <f t="shared" ref="K96:K102" si="14">I96*C96</f>
        <v>0</v>
      </c>
      <c r="L96" s="73"/>
    </row>
    <row r="97" spans="2:12" s="214" customFormat="1" ht="13">
      <c r="B97" s="37" t="s">
        <v>180</v>
      </c>
      <c r="C97" s="67"/>
      <c r="D97" s="238" t="s">
        <v>62</v>
      </c>
      <c r="E97" s="74" t="s">
        <v>175</v>
      </c>
      <c r="F97" s="8" t="s">
        <v>148</v>
      </c>
      <c r="G97" s="38" cm="1">
        <f t="array" ref="G97">_xlfn.XLOOKUP(1,('Cost Schedule'!$B$212:$B$220='Green Hydrogen'!E97)*('Cost Schedule'!$A$212:$A$220='Green Hydrogen'!F97),'Cost Schedule'!$C$212:$C$220)</f>
        <v>4785.51258101035</v>
      </c>
      <c r="H97" s="72"/>
      <c r="I97" s="39">
        <f t="shared" si="12"/>
        <v>4785.51258101035</v>
      </c>
      <c r="J97" s="238" t="s">
        <v>62</v>
      </c>
      <c r="K97" s="45">
        <f t="shared" si="14"/>
        <v>0</v>
      </c>
      <c r="L97" s="73"/>
    </row>
    <row r="98" spans="2:12" s="214" customFormat="1" ht="13">
      <c r="B98" s="37" t="s">
        <v>181</v>
      </c>
      <c r="C98" s="67"/>
      <c r="D98" s="238" t="s">
        <v>62</v>
      </c>
      <c r="E98" s="74" t="s">
        <v>175</v>
      </c>
      <c r="F98" s="8" t="s">
        <v>148</v>
      </c>
      <c r="G98" s="38" cm="1">
        <f t="array" ref="G98">_xlfn.XLOOKUP(1,('Cost Schedule'!$B$212:$B$220='Green Hydrogen'!E98)*('Cost Schedule'!$A$212:$A$220='Green Hydrogen'!F98),'Cost Schedule'!$C$212:$C$220)</f>
        <v>4785.51258101035</v>
      </c>
      <c r="H98" s="72"/>
      <c r="I98" s="39">
        <f t="shared" si="12"/>
        <v>4785.51258101035</v>
      </c>
      <c r="J98" s="238" t="s">
        <v>62</v>
      </c>
      <c r="K98" s="45">
        <f t="shared" si="14"/>
        <v>0</v>
      </c>
      <c r="L98" s="73"/>
    </row>
    <row r="99" spans="2:12" s="214" customFormat="1" ht="13">
      <c r="B99" s="37" t="s">
        <v>182</v>
      </c>
      <c r="C99" s="67"/>
      <c r="D99" s="238" t="s">
        <v>62</v>
      </c>
      <c r="E99" s="74" t="s">
        <v>175</v>
      </c>
      <c r="F99" s="8" t="s">
        <v>148</v>
      </c>
      <c r="G99" s="38" cm="1">
        <f t="array" ref="G99">_xlfn.XLOOKUP(1,('Cost Schedule'!$B$212:$B$220='Green Hydrogen'!E99)*('Cost Schedule'!$A$212:$A$220='Green Hydrogen'!F99),'Cost Schedule'!$C$212:$C$220)</f>
        <v>4785.51258101035</v>
      </c>
      <c r="H99" s="72"/>
      <c r="I99" s="39">
        <f t="shared" si="12"/>
        <v>4785.51258101035</v>
      </c>
      <c r="J99" s="238" t="s">
        <v>62</v>
      </c>
      <c r="K99" s="45">
        <f t="shared" si="14"/>
        <v>0</v>
      </c>
      <c r="L99" s="73"/>
    </row>
    <row r="100" spans="2:12" s="214" customFormat="1" ht="13">
      <c r="B100" s="37" t="s">
        <v>183</v>
      </c>
      <c r="C100" s="67"/>
      <c r="D100" s="238" t="s">
        <v>62</v>
      </c>
      <c r="E100" s="74" t="s">
        <v>175</v>
      </c>
      <c r="F100" s="8" t="s">
        <v>148</v>
      </c>
      <c r="G100" s="38" cm="1">
        <f t="array" ref="G100">_xlfn.XLOOKUP(1,('Cost Schedule'!$B$212:$B$220='Green Hydrogen'!E100)*('Cost Schedule'!$A$212:$A$220='Green Hydrogen'!F100),'Cost Schedule'!$C$212:$C$220)</f>
        <v>4785.51258101035</v>
      </c>
      <c r="H100" s="72"/>
      <c r="I100" s="39">
        <f t="shared" si="12"/>
        <v>4785.51258101035</v>
      </c>
      <c r="J100" s="238" t="s">
        <v>62</v>
      </c>
      <c r="K100" s="45">
        <f t="shared" si="14"/>
        <v>0</v>
      </c>
      <c r="L100" s="73"/>
    </row>
    <row r="101" spans="2:12" s="214" customFormat="1" ht="13">
      <c r="B101" s="37" t="s">
        <v>184</v>
      </c>
      <c r="C101" s="67"/>
      <c r="D101" s="238" t="s">
        <v>62</v>
      </c>
      <c r="E101" s="74" t="s">
        <v>175</v>
      </c>
      <c r="F101" s="8" t="s">
        <v>148</v>
      </c>
      <c r="G101" s="38" cm="1">
        <f t="array" ref="G101">_xlfn.XLOOKUP(1,('Cost Schedule'!$B$212:$B$220='Green Hydrogen'!E101)*('Cost Schedule'!$A$212:$A$220='Green Hydrogen'!F101),'Cost Schedule'!$C$212:$C$220)</f>
        <v>4785.51258101035</v>
      </c>
      <c r="H101" s="72"/>
      <c r="I101" s="39">
        <f t="shared" si="12"/>
        <v>4785.51258101035</v>
      </c>
      <c r="J101" s="238" t="s">
        <v>62</v>
      </c>
      <c r="K101" s="45">
        <f t="shared" si="14"/>
        <v>0</v>
      </c>
      <c r="L101" s="73"/>
    </row>
    <row r="102" spans="2:12" s="214" customFormat="1" ht="13">
      <c r="B102" s="37" t="s">
        <v>185</v>
      </c>
      <c r="C102" s="67"/>
      <c r="D102" s="238" t="s">
        <v>62</v>
      </c>
      <c r="E102" s="74" t="s">
        <v>175</v>
      </c>
      <c r="F102" s="8" t="s">
        <v>148</v>
      </c>
      <c r="G102" s="38" cm="1">
        <f t="array" ref="G102">_xlfn.XLOOKUP(1,('Cost Schedule'!$B$212:$B$220='Green Hydrogen'!E102)*('Cost Schedule'!$A$212:$A$220='Green Hydrogen'!F102),'Cost Schedule'!$C$212:$C$220)</f>
        <v>4785.51258101035</v>
      </c>
      <c r="H102" s="72"/>
      <c r="I102" s="39">
        <f t="shared" si="12"/>
        <v>4785.51258101035</v>
      </c>
      <c r="J102" s="238" t="s">
        <v>62</v>
      </c>
      <c r="K102" s="45">
        <f t="shared" si="14"/>
        <v>0</v>
      </c>
      <c r="L102" s="73"/>
    </row>
    <row r="103" spans="2:12" s="214" customFormat="1">
      <c r="C103" s="336"/>
      <c r="E103" s="238"/>
      <c r="F103" s="238"/>
      <c r="I103" s="332"/>
      <c r="L103" s="70"/>
    </row>
    <row r="104" spans="2:12" ht="13">
      <c r="B104" s="220" t="str">
        <f>B$22</f>
        <v>Totals</v>
      </c>
      <c r="C104" s="313">
        <f>SUM(C93:C103)</f>
        <v>0</v>
      </c>
      <c r="D104" s="238" t="s">
        <v>62</v>
      </c>
      <c r="H104" s="275" t="str">
        <f>CONCATENATE("Cost to ",B92)</f>
        <v>Cost to Decommission laydown areas and rehabilitate</v>
      </c>
      <c r="I104" s="39">
        <f>IF(C104=0,0,K104/C104)</f>
        <v>0</v>
      </c>
      <c r="J104" s="266" t="s">
        <v>249</v>
      </c>
      <c r="K104" s="102">
        <f>SUM(K93:K103)</f>
        <v>0</v>
      </c>
      <c r="L104" s="73"/>
    </row>
    <row r="105" spans="2:12">
      <c r="L105" s="70"/>
    </row>
    <row r="106" spans="2:12" ht="13">
      <c r="B106" s="217" t="s">
        <v>1232</v>
      </c>
      <c r="C106" s="217"/>
      <c r="D106" s="217"/>
      <c r="E106" s="217"/>
      <c r="F106" s="217"/>
      <c r="G106" s="217"/>
      <c r="H106" s="217"/>
      <c r="I106" s="217"/>
      <c r="J106" s="217"/>
      <c r="K106" s="217"/>
      <c r="L106" s="217"/>
    </row>
    <row r="107" spans="2:12" ht="22.5" customHeight="1">
      <c r="B107" s="261" t="s">
        <v>71</v>
      </c>
      <c r="C107" s="262" t="s">
        <v>72</v>
      </c>
      <c r="D107" s="262" t="s">
        <v>51</v>
      </c>
      <c r="E107" s="264" t="s">
        <v>83</v>
      </c>
      <c r="F107" s="264"/>
      <c r="G107" s="263" t="s">
        <v>50</v>
      </c>
      <c r="H107" s="263" t="s">
        <v>73</v>
      </c>
      <c r="I107" s="263" t="s">
        <v>74</v>
      </c>
      <c r="J107" s="263" t="s">
        <v>75</v>
      </c>
      <c r="K107" s="263" t="s">
        <v>76</v>
      </c>
      <c r="L107" s="70"/>
    </row>
    <row r="108" spans="2:12" ht="13">
      <c r="B108" s="37" t="s">
        <v>188</v>
      </c>
      <c r="C108" s="67"/>
      <c r="D108" s="238" t="s">
        <v>62</v>
      </c>
      <c r="E108" s="74" t="s">
        <v>189</v>
      </c>
      <c r="F108" s="8" t="s">
        <v>157</v>
      </c>
      <c r="G108" s="38" cm="1">
        <f t="array" ref="G108">_xlfn.XLOOKUP(1,('Cost Schedule'!$B$6:$B$14='Green Hydrogen'!E108)*('Cost Schedule'!$A$6:$A$14='Green Hydrogen'!F108),'Cost Schedule'!$C$6:$C$14)</f>
        <v>39762.562527538706</v>
      </c>
      <c r="H108" s="72"/>
      <c r="I108" s="39">
        <f>IF(H108="",G108,H108)</f>
        <v>39762.562527538706</v>
      </c>
      <c r="J108" s="238" t="s">
        <v>62</v>
      </c>
      <c r="K108" s="45">
        <f>I108*C108</f>
        <v>0</v>
      </c>
      <c r="L108" s="73"/>
    </row>
    <row r="109" spans="2:12" s="214" customFormat="1" ht="13">
      <c r="B109" s="37" t="s">
        <v>190</v>
      </c>
      <c r="C109" s="67"/>
      <c r="D109" s="238" t="s">
        <v>62</v>
      </c>
      <c r="E109" s="74" t="s">
        <v>191</v>
      </c>
      <c r="F109" s="8" t="s">
        <v>148</v>
      </c>
      <c r="G109" s="38" cm="1">
        <f t="array" ref="G109">_xlfn.XLOOKUP(1,('Cost Schedule'!$B$6:$B$14='Green Hydrogen'!E109)*('Cost Schedule'!$A$6:$A$14='Green Hydrogen'!F109),'Cost Schedule'!$C$6:$C$14)</f>
        <v>14356.537743031051</v>
      </c>
      <c r="H109" s="72"/>
      <c r="I109" s="39">
        <f>IF(H109="",G109,H109)</f>
        <v>14356.537743031051</v>
      </c>
      <c r="J109" s="238" t="s">
        <v>62</v>
      </c>
      <c r="K109" s="45">
        <f>I109*C109</f>
        <v>0</v>
      </c>
      <c r="L109" s="73"/>
    </row>
    <row r="110" spans="2:12" s="214" customFormat="1">
      <c r="C110" s="336"/>
      <c r="E110" s="238"/>
      <c r="F110" s="238"/>
      <c r="I110" s="332"/>
      <c r="L110" s="70"/>
    </row>
    <row r="111" spans="2:12" ht="13">
      <c r="B111" s="220" t="str">
        <f>B$22</f>
        <v>Totals</v>
      </c>
      <c r="C111" s="313">
        <f>SUM(C107:C110)</f>
        <v>0</v>
      </c>
      <c r="D111" s="238" t="s">
        <v>62</v>
      </c>
      <c r="H111" s="275" t="str">
        <f>CONCATENATE("Cost to ",B106)</f>
        <v>Cost to Decommission airstrips and rehabilitate</v>
      </c>
      <c r="I111" s="39">
        <f>IF(C111=0,0,K111/C111)</f>
        <v>0</v>
      </c>
      <c r="J111" s="266" t="s">
        <v>249</v>
      </c>
      <c r="K111" s="102">
        <f>SUM(K107:K110)</f>
        <v>0</v>
      </c>
      <c r="L111" s="73"/>
    </row>
    <row r="112" spans="2:12">
      <c r="C112" s="337"/>
      <c r="L112" s="70"/>
    </row>
    <row r="113" spans="2:12" ht="13">
      <c r="B113" s="217" t="s">
        <v>1233</v>
      </c>
      <c r="C113" s="217"/>
      <c r="D113" s="217"/>
      <c r="E113" s="217"/>
      <c r="F113" s="217"/>
      <c r="G113" s="217"/>
      <c r="H113" s="217"/>
      <c r="I113" s="217"/>
      <c r="J113" s="217"/>
      <c r="K113" s="217"/>
      <c r="L113" s="217"/>
    </row>
    <row r="114" spans="2:12" ht="22.5" customHeight="1">
      <c r="B114" s="261" t="s">
        <v>71</v>
      </c>
      <c r="C114" s="262" t="s">
        <v>72</v>
      </c>
      <c r="D114" s="262" t="s">
        <v>51</v>
      </c>
      <c r="E114" s="264" t="s">
        <v>83</v>
      </c>
      <c r="F114" s="264"/>
      <c r="G114" s="263" t="s">
        <v>50</v>
      </c>
      <c r="H114" s="263" t="s">
        <v>73</v>
      </c>
      <c r="I114" s="263" t="s">
        <v>74</v>
      </c>
      <c r="J114" s="263" t="s">
        <v>75</v>
      </c>
      <c r="K114" s="263" t="s">
        <v>76</v>
      </c>
      <c r="L114" s="70"/>
    </row>
    <row r="115" spans="2:12" ht="15" customHeight="1">
      <c r="B115" s="37" t="s">
        <v>194</v>
      </c>
      <c r="C115" s="67"/>
      <c r="D115" s="238" t="str">
        <f>_xlfn.XLOOKUP(E115,Buildings_by_area_names_UR,Buildings_by_area_unit_CS)</f>
        <v>m2</v>
      </c>
      <c r="E115" s="74" t="s">
        <v>195</v>
      </c>
      <c r="F115" s="264"/>
      <c r="G115" s="47">
        <f>_xlfn.XLOOKUP(E115,Buildings_by_area_names_UR,Buildings_by_area_removal_rates_UR)</f>
        <v>208.11062861557767</v>
      </c>
      <c r="H115" s="72"/>
      <c r="I115" s="39">
        <f>IF(H115="",G115,H115)</f>
        <v>208.11062861557767</v>
      </c>
      <c r="J115" s="238" t="str">
        <f>D115</f>
        <v>m2</v>
      </c>
      <c r="K115" s="45">
        <f>I115*C115</f>
        <v>0</v>
      </c>
      <c r="L115" s="73"/>
    </row>
    <row r="116" spans="2:12" s="214" customFormat="1" ht="15" customHeight="1">
      <c r="B116" s="37" t="s">
        <v>196</v>
      </c>
      <c r="C116" s="67"/>
      <c r="D116" s="238" t="str">
        <f>_xlfn.XLOOKUP(E116,Buildings_by_area_names_UR,Buildings_by_area_unit_CS)</f>
        <v>m2</v>
      </c>
      <c r="E116" s="74" t="s">
        <v>197</v>
      </c>
      <c r="F116" s="264"/>
      <c r="G116" s="47">
        <f>_xlfn.XLOOKUP(E116,Buildings_by_area_names_UR,Buildings_by_area_removal_rates_UR)</f>
        <v>94.038485216966436</v>
      </c>
      <c r="H116" s="72"/>
      <c r="I116" s="39">
        <f>IF(H116="",G116,H116)</f>
        <v>94.038485216966436</v>
      </c>
      <c r="J116" s="238" t="str">
        <f t="shared" ref="J116:J119" si="15">D116</f>
        <v>m2</v>
      </c>
      <c r="K116" s="45">
        <f>I116*C116</f>
        <v>0</v>
      </c>
      <c r="L116" s="70"/>
    </row>
    <row r="117" spans="2:12" s="214" customFormat="1" ht="15" customHeight="1">
      <c r="B117" s="37" t="s">
        <v>198</v>
      </c>
      <c r="C117" s="67"/>
      <c r="D117" s="238" t="str">
        <f>_xlfn.XLOOKUP(E117,Buildings_by_area_names_UR,Buildings_by_area_unit_CS)</f>
        <v>m2</v>
      </c>
      <c r="E117" s="74" t="s">
        <v>199</v>
      </c>
      <c r="F117" s="264"/>
      <c r="G117" s="47">
        <f>_xlfn.XLOOKUP(E117,Buildings_by_area_names_UR,Buildings_by_area_removal_rates_UR)</f>
        <v>87.229587913547633</v>
      </c>
      <c r="H117" s="72"/>
      <c r="I117" s="39">
        <f>IF(H117="",G117,H117)</f>
        <v>87.229587913547633</v>
      </c>
      <c r="J117" s="238" t="str">
        <f t="shared" si="15"/>
        <v>m2</v>
      </c>
      <c r="K117" s="45">
        <f>I117*C117</f>
        <v>0</v>
      </c>
      <c r="L117" s="73"/>
    </row>
    <row r="118" spans="2:12" s="214" customFormat="1" ht="15" customHeight="1">
      <c r="B118" s="37" t="s">
        <v>200</v>
      </c>
      <c r="C118" s="67"/>
      <c r="D118" s="238" t="str">
        <f>_xlfn.XLOOKUP(E118,Buildings_by_area_names_UR,Buildings_by_area_unit_CS)</f>
        <v>m2</v>
      </c>
      <c r="E118" s="74" t="s">
        <v>201</v>
      </c>
      <c r="F118" s="264"/>
      <c r="G118" s="47">
        <f>_xlfn.XLOOKUP(E118,Buildings_by_area_names_UR,Buildings_by_area_removal_rates_UR)</f>
        <v>157.40763343503909</v>
      </c>
      <c r="H118" s="72"/>
      <c r="I118" s="39">
        <f>IF(H118="",G118,H118)</f>
        <v>157.40763343503909</v>
      </c>
      <c r="J118" s="238" t="str">
        <f t="shared" si="15"/>
        <v>m2</v>
      </c>
      <c r="K118" s="45">
        <f>I118*C118</f>
        <v>0</v>
      </c>
      <c r="L118" s="70"/>
    </row>
    <row r="119" spans="2:12" s="214" customFormat="1" ht="15" customHeight="1">
      <c r="B119" s="37" t="s">
        <v>202</v>
      </c>
      <c r="C119" s="67"/>
      <c r="D119" s="238" t="str">
        <f>_xlfn.XLOOKUP(E119,Buildings_by_area_names_UR,Buildings_by_area_unit_CS)</f>
        <v>m2</v>
      </c>
      <c r="E119" s="74" t="s">
        <v>195</v>
      </c>
      <c r="F119" s="264"/>
      <c r="G119" s="47">
        <f>_xlfn.XLOOKUP(E119,Buildings_by_area_names_UR,Buildings_by_area_removal_rates_UR)</f>
        <v>208.11062861557767</v>
      </c>
      <c r="H119" s="72"/>
      <c r="I119" s="39">
        <f>IF(H119="",G119,H119)</f>
        <v>208.11062861557767</v>
      </c>
      <c r="J119" s="238" t="str">
        <f t="shared" si="15"/>
        <v>m2</v>
      </c>
      <c r="K119" s="45">
        <f>I119*C119</f>
        <v>0</v>
      </c>
      <c r="L119" s="73"/>
    </row>
    <row r="120" spans="2:12" s="214" customFormat="1" ht="13">
      <c r="C120" s="336"/>
      <c r="F120" s="264"/>
      <c r="L120" s="70"/>
    </row>
    <row r="121" spans="2:12" ht="13">
      <c r="B121" s="220" t="str">
        <f>B$22</f>
        <v>Totals</v>
      </c>
      <c r="C121" s="313">
        <f>SUM(C114:C120)</f>
        <v>0</v>
      </c>
      <c r="D121" s="238" t="s">
        <v>203</v>
      </c>
      <c r="H121" s="275" t="str">
        <f>CONCATENATE("Cost to ",B113)</f>
        <v>Cost to Demolish / remove buildings (by area)</v>
      </c>
      <c r="I121" s="39">
        <f>IF(C121=0,0,K121/C121)</f>
        <v>0</v>
      </c>
      <c r="J121" s="266" t="s">
        <v>410</v>
      </c>
      <c r="K121" s="102">
        <f>SUM(K114:K120)</f>
        <v>0</v>
      </c>
      <c r="L121" s="73"/>
    </row>
    <row r="122" spans="2:12">
      <c r="L122" s="70"/>
    </row>
    <row r="123" spans="2:12" ht="13">
      <c r="B123" s="217" t="s">
        <v>1234</v>
      </c>
      <c r="C123" s="217"/>
      <c r="D123" s="217"/>
      <c r="E123" s="217"/>
      <c r="F123" s="217"/>
      <c r="G123" s="217"/>
      <c r="H123" s="217"/>
      <c r="I123" s="217"/>
      <c r="J123" s="217"/>
      <c r="K123" s="217"/>
      <c r="L123" s="217"/>
    </row>
    <row r="124" spans="2:12" ht="21" customHeight="1">
      <c r="B124" s="261" t="s">
        <v>71</v>
      </c>
      <c r="C124" s="262" t="s">
        <v>72</v>
      </c>
      <c r="D124" s="262" t="s">
        <v>51</v>
      </c>
      <c r="E124" s="264" t="s">
        <v>83</v>
      </c>
      <c r="F124" s="264"/>
      <c r="G124" s="263" t="s">
        <v>50</v>
      </c>
      <c r="H124" s="263" t="s">
        <v>73</v>
      </c>
      <c r="I124" s="263" t="s">
        <v>74</v>
      </c>
      <c r="J124" s="263" t="s">
        <v>75</v>
      </c>
      <c r="K124" s="263" t="s">
        <v>76</v>
      </c>
      <c r="L124" s="70"/>
    </row>
    <row r="125" spans="2:12" ht="14.25" customHeight="1">
      <c r="B125" s="37" t="s">
        <v>207</v>
      </c>
      <c r="C125" s="69"/>
      <c r="D125" s="238" t="s">
        <v>1007</v>
      </c>
      <c r="E125" s="78" t="s">
        <v>208</v>
      </c>
      <c r="F125" s="264"/>
      <c r="G125" s="38">
        <f>_xlfn.XLOOKUP(E125,Buildings_by_number_names_UR,Buildings_by_number_removal_rates_UR)</f>
        <v>2116.832977994005</v>
      </c>
      <c r="H125" s="72"/>
      <c r="I125" s="39">
        <f>IF(H125="",G125,H125)</f>
        <v>2116.832977994005</v>
      </c>
      <c r="J125" s="238" t="str">
        <f>D125</f>
        <v>building</v>
      </c>
      <c r="K125" s="45">
        <f>I125*C125</f>
        <v>0</v>
      </c>
      <c r="L125" s="73"/>
    </row>
    <row r="126" spans="2:12" s="214" customFormat="1" ht="14.25" customHeight="1">
      <c r="B126" s="37" t="s">
        <v>209</v>
      </c>
      <c r="C126" s="69"/>
      <c r="D126" s="238" t="s">
        <v>1007</v>
      </c>
      <c r="E126" s="78" t="s">
        <v>210</v>
      </c>
      <c r="F126" s="264"/>
      <c r="G126" s="38">
        <f>_xlfn.XLOOKUP(E126,Buildings_by_number_names_UR,Buildings_by_number_removal_rates_UR)</f>
        <v>1535.6089147798502</v>
      </c>
      <c r="H126" s="72"/>
      <c r="I126" s="39">
        <f>IF(H126="",G126,H126)</f>
        <v>1535.6089147798502</v>
      </c>
      <c r="J126" s="238" t="str">
        <f t="shared" ref="J126:J129" si="16">D126</f>
        <v>building</v>
      </c>
      <c r="K126" s="45">
        <f>I126*C126</f>
        <v>0</v>
      </c>
      <c r="L126" s="70"/>
    </row>
    <row r="127" spans="2:12" s="214" customFormat="1" ht="14.25" customHeight="1">
      <c r="B127" s="37" t="s">
        <v>211</v>
      </c>
      <c r="C127" s="69"/>
      <c r="D127" s="238" t="s">
        <v>1007</v>
      </c>
      <c r="E127" s="78" t="s">
        <v>212</v>
      </c>
      <c r="F127" s="264"/>
      <c r="G127" s="38">
        <f>_xlfn.XLOOKUP(E127,Buildings_by_number_names_UR,Buildings_by_number_removal_rates_UR)</f>
        <v>8718.1405761022397</v>
      </c>
      <c r="H127" s="72"/>
      <c r="I127" s="39">
        <f>IF(H127="",G127,H127)</f>
        <v>8718.1405761022397</v>
      </c>
      <c r="J127" s="238" t="str">
        <f t="shared" si="16"/>
        <v>building</v>
      </c>
      <c r="K127" s="45">
        <f>I127*C127</f>
        <v>0</v>
      </c>
      <c r="L127" s="73"/>
    </row>
    <row r="128" spans="2:12" s="214" customFormat="1" ht="14.25" customHeight="1">
      <c r="B128" s="37" t="s">
        <v>213</v>
      </c>
      <c r="C128" s="69"/>
      <c r="D128" s="238" t="s">
        <v>1007</v>
      </c>
      <c r="E128" s="78" t="s">
        <v>214</v>
      </c>
      <c r="F128" s="264"/>
      <c r="G128" s="38">
        <f>_xlfn.XLOOKUP(E128,Buildings_by_number_names_UR,Buildings_by_number_removal_rates_UR)</f>
        <v>4996.7383848157133</v>
      </c>
      <c r="H128" s="72"/>
      <c r="I128" s="39">
        <f>IF(H128="",G128,H128)</f>
        <v>4996.7383848157133</v>
      </c>
      <c r="J128" s="238" t="str">
        <f t="shared" si="16"/>
        <v>building</v>
      </c>
      <c r="K128" s="45">
        <f>I128*C128</f>
        <v>0</v>
      </c>
      <c r="L128" s="70"/>
    </row>
    <row r="129" spans="2:12" s="214" customFormat="1" ht="14.25" customHeight="1">
      <c r="B129" s="37" t="s">
        <v>215</v>
      </c>
      <c r="C129" s="69"/>
      <c r="D129" s="238" t="s">
        <v>1007</v>
      </c>
      <c r="E129" s="78" t="s">
        <v>210</v>
      </c>
      <c r="F129" s="264"/>
      <c r="G129" s="38">
        <f>_xlfn.XLOOKUP(E129,Buildings_by_number_names_UR,Buildings_by_number_removal_rates_UR)</f>
        <v>1535.6089147798502</v>
      </c>
      <c r="H129" s="72"/>
      <c r="I129" s="39">
        <f>IF(H129="",G129,H129)</f>
        <v>1535.6089147798502</v>
      </c>
      <c r="J129" s="238" t="str">
        <f t="shared" si="16"/>
        <v>building</v>
      </c>
      <c r="K129" s="45">
        <f>I129*C129</f>
        <v>0</v>
      </c>
      <c r="L129" s="73"/>
    </row>
    <row r="130" spans="2:12" s="214" customFormat="1" ht="13">
      <c r="C130" s="328"/>
      <c r="F130" s="264"/>
      <c r="L130" s="70"/>
    </row>
    <row r="131" spans="2:12" ht="13">
      <c r="B131" s="220" t="str">
        <f>B$22</f>
        <v>Totals</v>
      </c>
      <c r="C131" s="333">
        <f>SUM(C124:C130)</f>
        <v>0</v>
      </c>
      <c r="D131" s="238" t="s">
        <v>216</v>
      </c>
      <c r="H131" s="275" t="str">
        <f>CONCATENATE("Cost to ",B123)</f>
        <v>Cost to Demolish / remove buildings (by number)</v>
      </c>
      <c r="I131" s="39">
        <f>IF(C131=0,0,K131/C131)</f>
        <v>0</v>
      </c>
      <c r="J131" s="266" t="s">
        <v>217</v>
      </c>
      <c r="K131" s="102">
        <f>SUM(K124:K130)</f>
        <v>0</v>
      </c>
      <c r="L131" s="73"/>
    </row>
    <row r="132" spans="2:12">
      <c r="L132" s="70"/>
    </row>
    <row r="133" spans="2:12" ht="13">
      <c r="B133" s="217" t="s">
        <v>1235</v>
      </c>
      <c r="C133" s="217"/>
      <c r="D133" s="217"/>
      <c r="E133" s="217"/>
      <c r="F133" s="217"/>
      <c r="G133" s="217"/>
      <c r="H133" s="217"/>
      <c r="I133" s="217"/>
      <c r="J133" s="217"/>
      <c r="K133" s="217"/>
      <c r="L133" s="217"/>
    </row>
    <row r="134" spans="2:12" ht="24" customHeight="1">
      <c r="B134" s="261" t="s">
        <v>71</v>
      </c>
      <c r="C134" s="262" t="s">
        <v>72</v>
      </c>
      <c r="D134" s="262" t="s">
        <v>51</v>
      </c>
      <c r="E134" s="264" t="s">
        <v>83</v>
      </c>
      <c r="F134" s="264"/>
      <c r="G134" s="263" t="s">
        <v>50</v>
      </c>
      <c r="H134" s="263" t="s">
        <v>73</v>
      </c>
      <c r="I134" s="263" t="s">
        <v>74</v>
      </c>
      <c r="J134" s="263" t="s">
        <v>75</v>
      </c>
      <c r="K134" s="263" t="s">
        <v>76</v>
      </c>
      <c r="L134" s="70"/>
    </row>
    <row r="135" spans="2:12" ht="13">
      <c r="B135" s="37" t="s">
        <v>219</v>
      </c>
      <c r="C135" s="67"/>
      <c r="D135" s="238" t="s">
        <v>62</v>
      </c>
      <c r="G135" s="288"/>
      <c r="H135" s="263"/>
      <c r="I135" s="263"/>
      <c r="J135" s="263"/>
      <c r="K135" s="263"/>
      <c r="L135" s="73"/>
    </row>
    <row r="136" spans="2:12" ht="13">
      <c r="B136" s="37" t="s">
        <v>220</v>
      </c>
      <c r="C136" s="67"/>
      <c r="D136" s="238" t="s">
        <v>62</v>
      </c>
      <c r="G136" s="288"/>
      <c r="H136" s="263"/>
      <c r="I136" s="263"/>
      <c r="J136" s="263"/>
      <c r="K136" s="263"/>
      <c r="L136" s="73"/>
    </row>
    <row r="137" spans="2:12" ht="13">
      <c r="B137" s="37" t="s">
        <v>221</v>
      </c>
      <c r="C137" s="67"/>
      <c r="D137" s="238" t="s">
        <v>62</v>
      </c>
      <c r="G137" s="288"/>
      <c r="H137" s="263"/>
      <c r="I137" s="263"/>
      <c r="J137" s="263"/>
      <c r="K137" s="263"/>
      <c r="L137" s="73"/>
    </row>
    <row r="138" spans="2:12" ht="13">
      <c r="B138" s="37" t="s">
        <v>222</v>
      </c>
      <c r="C138" s="67"/>
      <c r="D138" s="238" t="s">
        <v>62</v>
      </c>
      <c r="G138" s="288"/>
      <c r="H138" s="263"/>
      <c r="I138" s="263"/>
      <c r="J138" s="263"/>
      <c r="K138" s="263"/>
      <c r="L138" s="73"/>
    </row>
    <row r="139" spans="2:12" ht="13">
      <c r="B139" s="37" t="s">
        <v>223</v>
      </c>
      <c r="C139" s="67"/>
      <c r="D139" s="238" t="s">
        <v>62</v>
      </c>
      <c r="G139" s="288"/>
      <c r="H139" s="263"/>
      <c r="I139" s="263"/>
      <c r="J139" s="263"/>
      <c r="K139" s="263"/>
      <c r="L139" s="73"/>
    </row>
    <row r="140" spans="2:12" ht="13">
      <c r="B140" s="37" t="s">
        <v>224</v>
      </c>
      <c r="C140" s="338">
        <f>SUM(C135:C139)</f>
        <v>0</v>
      </c>
      <c r="D140" s="238" t="s">
        <v>62</v>
      </c>
      <c r="G140" s="263"/>
      <c r="H140" s="263"/>
      <c r="I140" s="263"/>
      <c r="J140" s="263"/>
      <c r="K140" s="263"/>
      <c r="L140" s="73"/>
    </row>
    <row r="141" spans="2:12" ht="13">
      <c r="B141" s="37" t="s">
        <v>225</v>
      </c>
      <c r="C141" s="79">
        <v>1</v>
      </c>
      <c r="G141" s="263"/>
      <c r="H141" s="263"/>
      <c r="I141" s="263"/>
      <c r="J141" s="263"/>
      <c r="K141" s="263"/>
      <c r="L141" s="70"/>
    </row>
    <row r="142" spans="2:12" ht="13">
      <c r="B142" s="37" t="s">
        <v>1320</v>
      </c>
      <c r="C142" s="290">
        <f>C141*C140</f>
        <v>0</v>
      </c>
      <c r="D142" s="238" t="s">
        <v>62</v>
      </c>
      <c r="G142" s="263"/>
      <c r="H142" s="263"/>
      <c r="I142" s="263"/>
      <c r="J142" s="263"/>
      <c r="K142" s="263"/>
      <c r="L142" s="73"/>
    </row>
    <row r="143" spans="2:12" ht="13">
      <c r="B143" s="37" t="s">
        <v>226</v>
      </c>
      <c r="C143" s="313">
        <f>Growth_media_thickness</f>
        <v>0.15</v>
      </c>
      <c r="D143" s="238" t="s">
        <v>227</v>
      </c>
      <c r="G143" s="263"/>
      <c r="H143" s="263"/>
      <c r="I143" s="263"/>
      <c r="J143" s="263"/>
      <c r="K143" s="263"/>
      <c r="L143" s="70"/>
    </row>
    <row r="144" spans="2:12" ht="13">
      <c r="B144" s="37" t="s">
        <v>228</v>
      </c>
      <c r="C144" s="67"/>
      <c r="D144" s="238" t="s">
        <v>227</v>
      </c>
      <c r="G144" s="288" t="s">
        <v>229</v>
      </c>
      <c r="H144" s="263"/>
      <c r="I144" s="263"/>
      <c r="J144" s="263"/>
      <c r="K144" s="263"/>
      <c r="L144" s="73"/>
    </row>
    <row r="145" spans="2:12" ht="13">
      <c r="B145" s="14" t="s">
        <v>230</v>
      </c>
      <c r="C145" s="299">
        <f>C142*Square_metres_in_hectare*IF(C144=0,C143,C144)</f>
        <v>0</v>
      </c>
      <c r="D145" s="238" t="s">
        <v>231</v>
      </c>
      <c r="G145" s="263"/>
      <c r="H145" s="263"/>
      <c r="I145" s="263"/>
      <c r="J145" s="263"/>
      <c r="K145" s="263"/>
      <c r="L145" s="70"/>
    </row>
    <row r="146" spans="2:12" ht="13">
      <c r="B146" s="14" t="s">
        <v>232</v>
      </c>
      <c r="C146" s="79">
        <v>0</v>
      </c>
      <c r="G146" s="263"/>
      <c r="H146" s="263"/>
      <c r="I146" s="263"/>
      <c r="J146" s="263"/>
      <c r="K146" s="263"/>
      <c r="L146" s="73"/>
    </row>
    <row r="147" spans="2:12" ht="25">
      <c r="B147" s="14" t="s">
        <v>233</v>
      </c>
      <c r="C147" s="313">
        <f>C145*C146</f>
        <v>0</v>
      </c>
      <c r="D147" s="238" t="s">
        <v>231</v>
      </c>
      <c r="E147" s="70" t="s">
        <v>1303</v>
      </c>
      <c r="G147" s="47">
        <f>_xlfn.XLOOKUP(E147,Load_haul_dump_growth_media_onsite_names_UR,Load_haul_dump_growth_media_onsite_rates_UR)</f>
        <v>4.2830141305192262</v>
      </c>
      <c r="H147" s="72"/>
      <c r="I147" s="48">
        <f>IF(H147="",G147,H147)</f>
        <v>4.2830141305192262</v>
      </c>
      <c r="J147" s="238" t="s">
        <v>231</v>
      </c>
      <c r="K147" s="45">
        <f>I147*C147</f>
        <v>0</v>
      </c>
      <c r="L147" s="70"/>
    </row>
    <row r="148" spans="2:12" ht="13">
      <c r="B148" s="14" t="s">
        <v>234</v>
      </c>
      <c r="C148" s="313">
        <f>C145-C147</f>
        <v>0</v>
      </c>
      <c r="D148" s="238" t="s">
        <v>231</v>
      </c>
      <c r="G148" s="47">
        <f>Top_soil_rate</f>
        <v>165</v>
      </c>
      <c r="H148" s="72"/>
      <c r="I148" s="48">
        <f>IF(H148="",G148,H148)</f>
        <v>165</v>
      </c>
      <c r="J148" s="238" t="s">
        <v>231</v>
      </c>
      <c r="K148" s="45">
        <f>I148*C148</f>
        <v>0</v>
      </c>
      <c r="L148" s="73"/>
    </row>
    <row r="149" spans="2:12" ht="13">
      <c r="B149" s="14" t="s">
        <v>235</v>
      </c>
      <c r="C149" s="313">
        <f>C148*_xlfn.XLOOKUP(E149,Load_haul_dump_soil_ameliorants_from_off_site_names_UR,Load_haul_dump_growth_media_distance_avg)</f>
        <v>0</v>
      </c>
      <c r="D149" s="257" t="s">
        <v>1120</v>
      </c>
      <c r="E149" s="77" t="s">
        <v>236</v>
      </c>
      <c r="G149" s="47">
        <f>_xlfn.XLOOKUP(E149,Load_haul_dump_soil_ameliorants_from_off_site_names_UR,Load_haul_dump_soil_ameliorants_from_off_site_rates_UR)</f>
        <v>0.17003460207612459</v>
      </c>
      <c r="H149" s="72"/>
      <c r="I149" s="48">
        <f>IF(H149="",G149,H149)</f>
        <v>0.17003460207612459</v>
      </c>
      <c r="J149" s="238" t="s">
        <v>231</v>
      </c>
      <c r="K149" s="45">
        <f>I149*C149</f>
        <v>0</v>
      </c>
      <c r="L149" s="70"/>
    </row>
    <row r="150" spans="2:12">
      <c r="C150" s="286"/>
      <c r="L150" s="73"/>
    </row>
    <row r="151" spans="2:12" ht="13">
      <c r="B151" s="220" t="str">
        <f>B$22</f>
        <v>Totals</v>
      </c>
      <c r="C151" s="313">
        <f>C142</f>
        <v>0</v>
      </c>
      <c r="D151" s="238" t="s">
        <v>62</v>
      </c>
      <c r="H151" s="275" t="str">
        <f>CONCATENATE("Cost to ",B133)</f>
        <v>Cost to Apply growth media to rehabilitate land</v>
      </c>
      <c r="I151" s="39">
        <f>IF(C151=0,0,K151/C151)</f>
        <v>0</v>
      </c>
      <c r="J151" s="266" t="s">
        <v>249</v>
      </c>
      <c r="K151" s="99">
        <f>SUM(K135:K150)</f>
        <v>0</v>
      </c>
      <c r="L151" s="70"/>
    </row>
    <row r="152" spans="2:12">
      <c r="L152" s="73"/>
    </row>
    <row r="153" spans="2:12" ht="13">
      <c r="B153" s="217" t="s">
        <v>1236</v>
      </c>
      <c r="C153" s="217"/>
      <c r="D153" s="217"/>
      <c r="E153" s="217"/>
      <c r="F153" s="217"/>
      <c r="G153" s="217"/>
      <c r="H153" s="217"/>
      <c r="I153" s="217"/>
      <c r="J153" s="217"/>
      <c r="K153" s="217"/>
      <c r="L153" s="217"/>
    </row>
    <row r="154" spans="2:12" ht="22.5" customHeight="1">
      <c r="B154" s="261" t="s">
        <v>71</v>
      </c>
      <c r="C154" s="262" t="s">
        <v>72</v>
      </c>
      <c r="D154" s="262" t="s">
        <v>51</v>
      </c>
      <c r="E154" s="264" t="s">
        <v>83</v>
      </c>
      <c r="F154" s="264"/>
      <c r="G154" s="263" t="s">
        <v>50</v>
      </c>
      <c r="H154" s="263" t="s">
        <v>73</v>
      </c>
      <c r="I154" s="263" t="s">
        <v>74</v>
      </c>
      <c r="J154" s="263" t="s">
        <v>75</v>
      </c>
      <c r="K154" s="263" t="s">
        <v>76</v>
      </c>
      <c r="L154" s="70"/>
    </row>
    <row r="155" spans="2:12" ht="13">
      <c r="B155" s="37" t="s">
        <v>219</v>
      </c>
      <c r="C155" s="67"/>
      <c r="D155" s="238" t="s">
        <v>62</v>
      </c>
      <c r="G155" s="288"/>
      <c r="H155" s="263"/>
      <c r="I155" s="263"/>
      <c r="J155" s="263"/>
      <c r="K155" s="263"/>
      <c r="L155" s="73"/>
    </row>
    <row r="156" spans="2:12" ht="13">
      <c r="B156" s="37" t="s">
        <v>220</v>
      </c>
      <c r="C156" s="67"/>
      <c r="D156" s="238" t="s">
        <v>62</v>
      </c>
      <c r="G156" s="288"/>
      <c r="H156" s="263"/>
      <c r="I156" s="263"/>
      <c r="J156" s="263"/>
      <c r="K156" s="263"/>
      <c r="L156" s="73"/>
    </row>
    <row r="157" spans="2:12" ht="13">
      <c r="B157" s="37" t="s">
        <v>221</v>
      </c>
      <c r="C157" s="67"/>
      <c r="D157" s="238" t="s">
        <v>62</v>
      </c>
      <c r="G157" s="288"/>
      <c r="H157" s="263"/>
      <c r="I157" s="263"/>
      <c r="J157" s="263"/>
      <c r="K157" s="263"/>
      <c r="L157" s="73"/>
    </row>
    <row r="158" spans="2:12" ht="13">
      <c r="B158" s="37" t="s">
        <v>222</v>
      </c>
      <c r="C158" s="67"/>
      <c r="D158" s="238" t="s">
        <v>62</v>
      </c>
      <c r="G158" s="288"/>
      <c r="H158" s="263"/>
      <c r="I158" s="263"/>
      <c r="J158" s="263"/>
      <c r="K158" s="263"/>
      <c r="L158" s="73"/>
    </row>
    <row r="159" spans="2:12" ht="13">
      <c r="B159" s="37" t="s">
        <v>223</v>
      </c>
      <c r="C159" s="67"/>
      <c r="D159" s="238" t="s">
        <v>62</v>
      </c>
      <c r="G159" s="288"/>
      <c r="H159" s="263"/>
      <c r="I159" s="263"/>
      <c r="J159" s="263"/>
      <c r="K159" s="263"/>
      <c r="L159" s="73"/>
    </row>
    <row r="160" spans="2:12" ht="13">
      <c r="B160" s="37" t="s">
        <v>224</v>
      </c>
      <c r="C160" s="338">
        <f>SUM(C155:C159)</f>
        <v>0</v>
      </c>
      <c r="D160" s="238" t="s">
        <v>62</v>
      </c>
      <c r="G160" s="262"/>
      <c r="H160" s="263"/>
      <c r="I160" s="263"/>
      <c r="J160" s="263"/>
      <c r="K160" s="263"/>
      <c r="L160" s="73"/>
    </row>
    <row r="161" spans="2:12" ht="13">
      <c r="B161" s="14" t="s">
        <v>239</v>
      </c>
      <c r="C161" s="79">
        <v>1</v>
      </c>
      <c r="D161" s="262"/>
      <c r="F161" s="263"/>
      <c r="G161" s="262"/>
      <c r="H161" s="263"/>
      <c r="I161" s="263"/>
      <c r="J161" s="263"/>
      <c r="K161" s="263"/>
      <c r="L161" s="70"/>
    </row>
    <row r="162" spans="2:12" ht="13">
      <c r="B162" s="14" t="s">
        <v>240</v>
      </c>
      <c r="C162" s="289">
        <f>C161*C160</f>
        <v>0</v>
      </c>
      <c r="D162" s="238" t="s">
        <v>62</v>
      </c>
      <c r="F162" s="263"/>
      <c r="G162" s="262"/>
      <c r="H162" s="263"/>
      <c r="I162" s="263"/>
      <c r="J162" s="263"/>
      <c r="K162" s="263"/>
      <c r="L162" s="73"/>
    </row>
    <row r="163" spans="2:12" ht="13">
      <c r="B163" s="14" t="s">
        <v>1003</v>
      </c>
      <c r="C163" s="299">
        <f>_xlfn.XLOOKUP(E164,Ameliorants_soil_names_As,Ameliorants_app_rate)</f>
        <v>2</v>
      </c>
      <c r="D163" s="238" t="s">
        <v>241</v>
      </c>
      <c r="F163" s="263"/>
      <c r="G163" s="288" t="s">
        <v>229</v>
      </c>
      <c r="H163" s="263"/>
      <c r="I163" s="263"/>
      <c r="J163" s="263"/>
      <c r="K163" s="263"/>
      <c r="L163" s="70"/>
    </row>
    <row r="164" spans="2:12" ht="13">
      <c r="B164" s="14" t="s">
        <v>242</v>
      </c>
      <c r="C164" s="299">
        <f>C163*C162</f>
        <v>0</v>
      </c>
      <c r="D164" s="238" t="s">
        <v>243</v>
      </c>
      <c r="E164" s="77" t="s">
        <v>244</v>
      </c>
      <c r="F164" s="263"/>
      <c r="G164" s="47">
        <f>_xlfn.XLOOKUP(E164,Ameliorants_names,Ameliorants_rates)</f>
        <v>123</v>
      </c>
      <c r="H164" s="72"/>
      <c r="I164" s="48">
        <f>IF(H164="",G164,H164)</f>
        <v>123</v>
      </c>
      <c r="J164" s="238" t="s">
        <v>243</v>
      </c>
      <c r="K164" s="45">
        <f>I164*C164</f>
        <v>0</v>
      </c>
      <c r="L164" s="70"/>
    </row>
    <row r="165" spans="2:12" ht="13">
      <c r="B165" s="14" t="s">
        <v>245</v>
      </c>
      <c r="C165" s="313">
        <f>C164/Soil_density*_xlfn.XLOOKUP(E165,Load_haul_dump_soil_ameliorants_from_off_site_names_UR,Load_haul_dump_growth_media_distance_avg)</f>
        <v>0</v>
      </c>
      <c r="D165" s="238" t="s">
        <v>1120</v>
      </c>
      <c r="E165" s="77" t="s">
        <v>246</v>
      </c>
      <c r="F165" s="263"/>
      <c r="G165" s="47">
        <f>_xlfn.XLOOKUP(E165,Load_haul_dump_soil_ameliorants_from_off_site_names_UR,Load_haul_dump_soil_ameliorants_from_off_site_rates_UR)</f>
        <v>0.11200692041522493</v>
      </c>
      <c r="H165" s="72"/>
      <c r="I165" s="48">
        <f>IF(H165="",G165,H165)</f>
        <v>0.11200692041522493</v>
      </c>
      <c r="J165" s="238" t="s">
        <v>231</v>
      </c>
      <c r="K165" s="45">
        <f>I165*C165</f>
        <v>0</v>
      </c>
      <c r="L165" s="73"/>
    </row>
    <row r="166" spans="2:12" ht="13">
      <c r="B166" s="14" t="s">
        <v>247</v>
      </c>
      <c r="C166" s="299">
        <f>C160</f>
        <v>0</v>
      </c>
      <c r="D166" s="238" t="s">
        <v>62</v>
      </c>
      <c r="F166" s="263"/>
      <c r="G166" s="38">
        <f>_xlfn.XLOOKUP(E164,Ameliorants_names,Ameliorants_rates_UR)</f>
        <v>1494.3985650219167</v>
      </c>
      <c r="H166" s="72"/>
      <c r="I166" s="48">
        <f>IF(H166="",G166,H166)</f>
        <v>1494.3985650219167</v>
      </c>
      <c r="J166" s="238" t="s">
        <v>62</v>
      </c>
      <c r="K166" s="45">
        <f>I166*C166</f>
        <v>0</v>
      </c>
      <c r="L166" s="70"/>
    </row>
    <row r="167" spans="2:12" ht="13">
      <c r="B167" s="214"/>
      <c r="C167" s="336"/>
      <c r="F167" s="263"/>
      <c r="L167" s="73"/>
    </row>
    <row r="168" spans="2:12" ht="13">
      <c r="B168" s="220" t="str">
        <f>B$22</f>
        <v>Totals</v>
      </c>
      <c r="C168" s="339">
        <f>C162</f>
        <v>0</v>
      </c>
      <c r="D168" s="238" t="s">
        <v>62</v>
      </c>
      <c r="F168" s="263"/>
      <c r="H168" s="275" t="str">
        <f>CONCATENATE("Cost to ",B153)</f>
        <v xml:space="preserve">Cost to Apply ameliorants to rehabilitate land </v>
      </c>
      <c r="I168" s="39">
        <f>IF(C168=0,0,K168/C168)</f>
        <v>0</v>
      </c>
      <c r="J168" s="266" t="s">
        <v>249</v>
      </c>
      <c r="K168" s="99">
        <f>SUM(K154:K167)</f>
        <v>0</v>
      </c>
      <c r="L168" s="70"/>
    </row>
    <row r="169" spans="2:12" ht="13">
      <c r="B169" s="214"/>
      <c r="C169" s="214"/>
      <c r="F169" s="263"/>
      <c r="H169" s="265"/>
      <c r="I169" s="54"/>
      <c r="K169" s="214"/>
      <c r="L169" s="73"/>
    </row>
    <row r="170" spans="2:12" ht="13">
      <c r="B170" s="217" t="s">
        <v>1237</v>
      </c>
      <c r="C170" s="217"/>
      <c r="D170" s="217"/>
      <c r="E170" s="217"/>
      <c r="F170" s="217"/>
      <c r="G170" s="217"/>
      <c r="H170" s="217"/>
      <c r="I170" s="217"/>
      <c r="J170" s="217"/>
      <c r="K170" s="217"/>
      <c r="L170" s="217"/>
    </row>
    <row r="171" spans="2:12" ht="21.75" customHeight="1">
      <c r="B171" s="261" t="s">
        <v>71</v>
      </c>
      <c r="C171" s="262" t="s">
        <v>72</v>
      </c>
      <c r="D171" s="262" t="s">
        <v>51</v>
      </c>
      <c r="E171" s="264" t="s">
        <v>83</v>
      </c>
      <c r="F171" s="264"/>
      <c r="G171" s="263" t="s">
        <v>50</v>
      </c>
      <c r="H171" s="263" t="s">
        <v>73</v>
      </c>
      <c r="I171" s="263" t="s">
        <v>74</v>
      </c>
      <c r="J171" s="263" t="s">
        <v>75</v>
      </c>
      <c r="K171" s="263" t="s">
        <v>76</v>
      </c>
      <c r="L171" s="70"/>
    </row>
    <row r="172" spans="2:12" ht="13">
      <c r="B172" s="37" t="s">
        <v>219</v>
      </c>
      <c r="C172" s="67"/>
      <c r="D172" s="238" t="s">
        <v>62</v>
      </c>
      <c r="G172" s="288"/>
      <c r="H172" s="263"/>
      <c r="I172" s="263"/>
      <c r="J172" s="263"/>
      <c r="K172" s="263"/>
      <c r="L172" s="73"/>
    </row>
    <row r="173" spans="2:12" ht="13">
      <c r="B173" s="37" t="s">
        <v>220</v>
      </c>
      <c r="C173" s="67"/>
      <c r="D173" s="238" t="s">
        <v>62</v>
      </c>
      <c r="G173" s="288"/>
      <c r="H173" s="263"/>
      <c r="I173" s="263"/>
      <c r="J173" s="263"/>
      <c r="K173" s="263"/>
      <c r="L173" s="73"/>
    </row>
    <row r="174" spans="2:12" ht="13">
      <c r="B174" s="37" t="s">
        <v>221</v>
      </c>
      <c r="C174" s="67"/>
      <c r="D174" s="238" t="s">
        <v>62</v>
      </c>
      <c r="G174" s="288"/>
      <c r="H174" s="263"/>
      <c r="I174" s="263"/>
      <c r="J174" s="263"/>
      <c r="K174" s="263"/>
      <c r="L174" s="73"/>
    </row>
    <row r="175" spans="2:12" ht="13">
      <c r="B175" s="37" t="s">
        <v>222</v>
      </c>
      <c r="C175" s="67"/>
      <c r="D175" s="238" t="s">
        <v>62</v>
      </c>
      <c r="G175" s="288"/>
      <c r="H175" s="263"/>
      <c r="I175" s="263"/>
      <c r="J175" s="263"/>
      <c r="K175" s="263"/>
      <c r="L175" s="73"/>
    </row>
    <row r="176" spans="2:12" ht="13">
      <c r="B176" s="37" t="s">
        <v>223</v>
      </c>
      <c r="C176" s="67"/>
      <c r="D176" s="238" t="s">
        <v>62</v>
      </c>
      <c r="G176" s="288"/>
      <c r="H176" s="263"/>
      <c r="I176" s="263"/>
      <c r="J176" s="263"/>
      <c r="K176" s="263"/>
      <c r="L176" s="73"/>
    </row>
    <row r="177" spans="2:12" ht="13">
      <c r="B177" s="37" t="s">
        <v>224</v>
      </c>
      <c r="C177" s="338">
        <f>SUM(C172:C176)</f>
        <v>0</v>
      </c>
      <c r="D177" s="238" t="s">
        <v>62</v>
      </c>
      <c r="L177" s="73"/>
    </row>
    <row r="178" spans="2:12">
      <c r="B178" s="14" t="s">
        <v>251</v>
      </c>
      <c r="C178" s="79">
        <v>1</v>
      </c>
      <c r="L178" s="70"/>
    </row>
    <row r="179" spans="2:12" ht="13">
      <c r="B179" s="14" t="s">
        <v>252</v>
      </c>
      <c r="C179" s="289">
        <f>C178*C177</f>
        <v>0</v>
      </c>
      <c r="D179" s="238" t="s">
        <v>62</v>
      </c>
      <c r="E179" s="70" t="s">
        <v>253</v>
      </c>
      <c r="G179" s="38">
        <f>_xlfn.XLOOKUP(E179,Revegetation_names_UR,Revegetation_rates_UR)</f>
        <v>3009.8329628478778</v>
      </c>
      <c r="H179" s="72"/>
      <c r="I179" s="48">
        <f>IF(H179="",G179,H179)</f>
        <v>3009.8329628478778</v>
      </c>
      <c r="J179" s="238" t="s">
        <v>62</v>
      </c>
      <c r="K179" s="45">
        <f>I179*C179</f>
        <v>0</v>
      </c>
      <c r="L179" s="73"/>
    </row>
    <row r="180" spans="2:12">
      <c r="B180" s="214"/>
      <c r="C180" s="336"/>
      <c r="L180" s="70"/>
    </row>
    <row r="181" spans="2:12" ht="13">
      <c r="B181" s="220" t="str">
        <f>B$22</f>
        <v>Totals</v>
      </c>
      <c r="C181" s="339">
        <f>C179</f>
        <v>0</v>
      </c>
      <c r="D181" s="238" t="s">
        <v>62</v>
      </c>
      <c r="G181" s="257"/>
      <c r="H181" s="275" t="str">
        <f>CONCATENATE("Cost to ",B170)</f>
        <v xml:space="preserve">Cost to Revegetate to rehabilitate land </v>
      </c>
      <c r="I181" s="39">
        <f>IF(C181=0,0,K181/C181)</f>
        <v>0</v>
      </c>
      <c r="J181" s="266" t="s">
        <v>249</v>
      </c>
      <c r="K181" s="99">
        <f>SUM(K171:K180)</f>
        <v>0</v>
      </c>
      <c r="L181" s="73"/>
    </row>
    <row r="182" spans="2:12">
      <c r="L182" s="70"/>
    </row>
    <row r="183" spans="2:12" ht="13">
      <c r="B183" s="217" t="s">
        <v>1116</v>
      </c>
      <c r="C183" s="217"/>
      <c r="D183" s="217"/>
      <c r="E183" s="217"/>
      <c r="F183" s="217"/>
      <c r="G183" s="217"/>
      <c r="H183" s="217"/>
      <c r="I183" s="217"/>
      <c r="J183" s="217"/>
      <c r="K183" s="217"/>
      <c r="L183" s="217"/>
    </row>
    <row r="184" spans="2:12" s="257" customFormat="1" ht="24.75" customHeight="1">
      <c r="B184" s="296" t="s">
        <v>71</v>
      </c>
      <c r="C184" s="297" t="s">
        <v>72</v>
      </c>
      <c r="D184" s="297" t="s">
        <v>51</v>
      </c>
      <c r="E184" s="297" t="s">
        <v>83</v>
      </c>
      <c r="F184" s="297"/>
      <c r="G184" s="298" t="s">
        <v>50</v>
      </c>
      <c r="H184" s="298" t="s">
        <v>73</v>
      </c>
      <c r="I184" s="298" t="s">
        <v>74</v>
      </c>
      <c r="J184" s="298" t="s">
        <v>75</v>
      </c>
      <c r="K184" s="298" t="s">
        <v>76</v>
      </c>
      <c r="L184" s="82"/>
    </row>
    <row r="185" spans="2:12" s="257" customFormat="1">
      <c r="B185" s="37" t="s">
        <v>269</v>
      </c>
      <c r="C185" s="67"/>
      <c r="D185" s="257" t="s">
        <v>203</v>
      </c>
      <c r="L185" s="82"/>
    </row>
    <row r="186" spans="2:12" s="257" customFormat="1">
      <c r="B186" s="37" t="s">
        <v>270</v>
      </c>
      <c r="C186" s="67"/>
      <c r="D186" s="257" t="s">
        <v>203</v>
      </c>
      <c r="L186" s="82"/>
    </row>
    <row r="187" spans="2:12" s="257" customFormat="1">
      <c r="B187" s="81" t="s">
        <v>1345</v>
      </c>
      <c r="C187" s="67"/>
      <c r="D187" s="257" t="s">
        <v>203</v>
      </c>
      <c r="L187" s="82"/>
    </row>
    <row r="188" spans="2:12" s="257" customFormat="1">
      <c r="B188" s="81" t="s">
        <v>1345</v>
      </c>
      <c r="C188" s="67"/>
      <c r="D188" s="257" t="s">
        <v>203</v>
      </c>
      <c r="L188" s="82"/>
    </row>
    <row r="189" spans="2:12" s="257" customFormat="1">
      <c r="B189" s="81" t="s">
        <v>1345</v>
      </c>
      <c r="C189" s="67"/>
      <c r="D189" s="257" t="s">
        <v>203</v>
      </c>
      <c r="L189" s="82"/>
    </row>
    <row r="190" spans="2:12" s="257" customFormat="1" ht="13">
      <c r="B190" s="37" t="s">
        <v>271</v>
      </c>
      <c r="C190" s="289">
        <f>SUM(C185:C189)</f>
        <v>0</v>
      </c>
      <c r="D190" s="257" t="s">
        <v>203</v>
      </c>
      <c r="L190" s="82"/>
    </row>
    <row r="191" spans="2:12" s="257" customFormat="1">
      <c r="B191" s="14" t="s">
        <v>226</v>
      </c>
      <c r="C191" s="299">
        <f>Concrete_default_thickness</f>
        <v>0.2</v>
      </c>
      <c r="D191" s="257" t="s">
        <v>227</v>
      </c>
      <c r="L191" s="82"/>
    </row>
    <row r="192" spans="2:12" s="257" customFormat="1" ht="13">
      <c r="B192" s="14" t="s">
        <v>228</v>
      </c>
      <c r="C192" s="67"/>
      <c r="D192" s="257" t="s">
        <v>227</v>
      </c>
      <c r="E192" s="300" t="s">
        <v>272</v>
      </c>
      <c r="L192" s="82"/>
    </row>
    <row r="193" spans="2:12" s="257" customFormat="1" ht="13">
      <c r="B193" s="14" t="s">
        <v>273</v>
      </c>
      <c r="C193" s="67"/>
      <c r="D193" s="257" t="s">
        <v>231</v>
      </c>
      <c r="E193" s="300" t="s">
        <v>274</v>
      </c>
      <c r="L193" s="82"/>
    </row>
    <row r="194" spans="2:12" s="257" customFormat="1">
      <c r="B194" s="14" t="s">
        <v>1346</v>
      </c>
      <c r="C194" s="293">
        <f>IF(C193=0,C190*IF(C192=0,C191,C192),C193)</f>
        <v>0</v>
      </c>
      <c r="D194" s="257" t="s">
        <v>231</v>
      </c>
      <c r="L194" s="82"/>
    </row>
    <row r="195" spans="2:12" s="257" customFormat="1" ht="25">
      <c r="B195" s="14" t="s">
        <v>1117</v>
      </c>
      <c r="C195" s="299">
        <f>C194</f>
        <v>0</v>
      </c>
      <c r="D195" s="257" t="s">
        <v>231</v>
      </c>
      <c r="E195" s="76" t="s">
        <v>1302</v>
      </c>
      <c r="G195" s="47">
        <f>_xlfn.XLOOKUP(E195,Load_haul_dump_concrete_onsite_names_UR,Load_haul_dump_concrete_onsite_rates_UR)</f>
        <v>3.7318636114880839</v>
      </c>
      <c r="H195" s="72"/>
      <c r="I195" s="48">
        <f>IF(H195="",G195,H195)</f>
        <v>3.7318636114880839</v>
      </c>
      <c r="J195" s="257" t="str">
        <f>D195</f>
        <v>m3</v>
      </c>
      <c r="K195" s="49">
        <f>I195*C195</f>
        <v>0</v>
      </c>
      <c r="L195" s="82"/>
    </row>
    <row r="196" spans="2:12" s="257" customFormat="1" ht="13">
      <c r="B196" s="14" t="s">
        <v>1116</v>
      </c>
      <c r="C196" s="299">
        <f>C194*Concrete_density</f>
        <v>0</v>
      </c>
      <c r="D196" s="257" t="s">
        <v>243</v>
      </c>
      <c r="E196" s="76" t="s">
        <v>459</v>
      </c>
      <c r="G196" s="47">
        <f>_xlfn.XLOOKUP(E196,Concrete_crush_names_UR,Concrete_crush_rates_UR)</f>
        <v>10.960642050537954</v>
      </c>
      <c r="H196" s="72"/>
      <c r="I196" s="48">
        <f>IF(H196="",G196,H196)</f>
        <v>10.960642050537954</v>
      </c>
      <c r="J196" s="257" t="str">
        <f>D196</f>
        <v>t</v>
      </c>
      <c r="K196" s="49">
        <f>I196*C196</f>
        <v>0</v>
      </c>
      <c r="L196" s="82"/>
    </row>
    <row r="197" spans="2:12" s="257" customFormat="1" ht="25">
      <c r="B197" s="14" t="s">
        <v>1118</v>
      </c>
      <c r="C197" s="299">
        <f>C194</f>
        <v>0</v>
      </c>
      <c r="D197" s="257" t="s">
        <v>231</v>
      </c>
      <c r="E197" s="76" t="s">
        <v>1347</v>
      </c>
      <c r="G197" s="47">
        <f>_xlfn.XLOOKUP(E197,Load_haul_dump_concrete_onsite_names_UR,Load_haul_dump_concrete_onsite_rates_UR)</f>
        <v>4.2129910624684763</v>
      </c>
      <c r="H197" s="72"/>
      <c r="I197" s="48">
        <f>IF(H197="",G197,H197)</f>
        <v>4.2129910624684763</v>
      </c>
      <c r="J197" s="257" t="str">
        <f>D197</f>
        <v>m3</v>
      </c>
      <c r="K197" s="49">
        <f>I197*C197</f>
        <v>0</v>
      </c>
      <c r="L197" s="82"/>
    </row>
    <row r="198" spans="2:12" s="257" customFormat="1">
      <c r="C198" s="329"/>
      <c r="L198" s="82"/>
    </row>
    <row r="199" spans="2:12" s="257" customFormat="1" ht="13">
      <c r="B199" s="220" t="str">
        <f>B$22</f>
        <v>Totals</v>
      </c>
      <c r="C199" s="313">
        <f>C194</f>
        <v>0</v>
      </c>
      <c r="D199" s="257" t="s">
        <v>231</v>
      </c>
      <c r="H199" s="275" t="str">
        <f>CONCATENATE("Cost to ",B183)</f>
        <v>Cost to Crush concrete</v>
      </c>
      <c r="I199" s="57">
        <f>IF(C199=0,0,K199/C199)</f>
        <v>0</v>
      </c>
      <c r="J199" s="276" t="s">
        <v>278</v>
      </c>
      <c r="K199" s="43">
        <f>SUM(K184:K198)</f>
        <v>0</v>
      </c>
      <c r="L199" s="82"/>
    </row>
    <row r="200" spans="2:12" s="257" customFormat="1" ht="13">
      <c r="I200" s="57">
        <f>I199/Concrete_density</f>
        <v>0</v>
      </c>
      <c r="J200" s="276" t="s">
        <v>243</v>
      </c>
      <c r="L200" s="82"/>
    </row>
    <row r="201" spans="2:12" s="257" customFormat="1">
      <c r="L201" s="82"/>
    </row>
    <row r="202" spans="2:12" ht="13">
      <c r="B202" s="217" t="s">
        <v>1226</v>
      </c>
      <c r="C202" s="217"/>
      <c r="D202" s="217"/>
      <c r="E202" s="217"/>
      <c r="F202" s="217"/>
      <c r="G202" s="217"/>
      <c r="H202" s="217"/>
      <c r="I202" s="217"/>
      <c r="J202" s="217"/>
      <c r="K202" s="217"/>
      <c r="L202" s="217"/>
    </row>
    <row r="203" spans="2:12" s="214" customFormat="1" ht="18" customHeight="1">
      <c r="B203" s="261" t="s">
        <v>71</v>
      </c>
      <c r="C203" s="262" t="s">
        <v>72</v>
      </c>
      <c r="D203" s="262" t="s">
        <v>51</v>
      </c>
      <c r="E203" s="264" t="s">
        <v>83</v>
      </c>
      <c r="F203" s="264"/>
      <c r="G203" s="263" t="s">
        <v>50</v>
      </c>
      <c r="H203" s="263" t="s">
        <v>73</v>
      </c>
      <c r="I203" s="263" t="s">
        <v>74</v>
      </c>
      <c r="J203" s="263" t="s">
        <v>75</v>
      </c>
      <c r="K203" s="263" t="s">
        <v>76</v>
      </c>
      <c r="L203" s="70"/>
    </row>
    <row r="204" spans="2:12">
      <c r="B204" s="37" t="s">
        <v>280</v>
      </c>
      <c r="C204" s="67"/>
      <c r="D204" s="238" t="s">
        <v>243</v>
      </c>
      <c r="L204" s="73"/>
    </row>
    <row r="205" spans="2:12">
      <c r="B205" s="14" t="s">
        <v>256</v>
      </c>
      <c r="C205" s="65">
        <f>_xlfn.XLOOKUP(E206,Long_haul_names_concrete_UR,Load_haul_dump_rubble_distance_avg)</f>
        <v>17.5</v>
      </c>
      <c r="D205" s="238" t="s">
        <v>86</v>
      </c>
      <c r="L205" s="73"/>
    </row>
    <row r="206" spans="2:12" ht="13">
      <c r="B206" s="14" t="s">
        <v>257</v>
      </c>
      <c r="C206" s="333">
        <f>C205*C204</f>
        <v>0</v>
      </c>
      <c r="D206" s="238" t="s">
        <v>99</v>
      </c>
      <c r="E206" s="77" t="s">
        <v>281</v>
      </c>
      <c r="G206" s="47">
        <f>_xlfn.XLOOKUP(E206,Long_haul_names_concrete_UR,Long_haul_rates_concrete_UR)</f>
        <v>8.5512328767123265</v>
      </c>
      <c r="H206" s="72"/>
      <c r="I206" s="48">
        <f>IF(H206="",G206,H206)</f>
        <v>8.5512328767123265</v>
      </c>
      <c r="J206" s="238" t="s">
        <v>99</v>
      </c>
      <c r="K206" s="45">
        <f>I206*C206</f>
        <v>0</v>
      </c>
      <c r="L206" s="73"/>
    </row>
    <row r="207" spans="2:12" ht="13">
      <c r="B207" s="56" t="s">
        <v>259</v>
      </c>
      <c r="C207" s="313">
        <f>C204</f>
        <v>0</v>
      </c>
      <c r="D207" s="238" t="s">
        <v>243</v>
      </c>
      <c r="E207" s="80" t="s">
        <v>282</v>
      </c>
      <c r="G207" s="106">
        <f>_xlfn.XLOOKUP(E207,Disposal_gate_fee_names,Disposal_gate_fee_rates)</f>
        <v>70</v>
      </c>
      <c r="H207" s="72"/>
      <c r="I207" s="48">
        <f>IF(H207="",G207,H207)</f>
        <v>70</v>
      </c>
      <c r="J207" s="238" t="s">
        <v>243</v>
      </c>
      <c r="K207" s="45">
        <f>I207*C207</f>
        <v>0</v>
      </c>
      <c r="L207" s="73"/>
    </row>
    <row r="208" spans="2:12" ht="13">
      <c r="B208" s="56" t="s">
        <v>261</v>
      </c>
      <c r="C208" s="313">
        <f>C204</f>
        <v>0</v>
      </c>
      <c r="D208" s="238" t="s">
        <v>243</v>
      </c>
      <c r="E208" s="77" t="s">
        <v>262</v>
      </c>
      <c r="G208" s="106">
        <f>_xlfn.XLOOKUP(E208,Waste_levy_names,Waste_levy_rates)</f>
        <v>83</v>
      </c>
      <c r="H208" s="72"/>
      <c r="I208" s="48">
        <f>IF(H208="",G208,H208)</f>
        <v>83</v>
      </c>
      <c r="J208" s="238" t="s">
        <v>243</v>
      </c>
      <c r="K208" s="45">
        <f>I208*C208</f>
        <v>0</v>
      </c>
      <c r="L208" s="70"/>
    </row>
    <row r="209" spans="2:12">
      <c r="C209" s="286"/>
      <c r="L209" s="73"/>
    </row>
    <row r="210" spans="2:12" ht="13">
      <c r="B210" s="220" t="str">
        <f>B$22</f>
        <v>Totals</v>
      </c>
      <c r="C210" s="339">
        <f>C204</f>
        <v>0</v>
      </c>
      <c r="D210" s="238" t="s">
        <v>243</v>
      </c>
      <c r="G210" s="257"/>
      <c r="H210" s="275" t="str">
        <f>CONCATENATE("Cost to ",B202)</f>
        <v>Cost to Dispose construction debris including concrete not part of items above</v>
      </c>
      <c r="I210" s="39">
        <f>IF(C210=0,0,K210/C210)</f>
        <v>0</v>
      </c>
      <c r="J210" s="276" t="s">
        <v>417</v>
      </c>
      <c r="K210" s="99">
        <f>SUM(K203:K209)</f>
        <v>0</v>
      </c>
      <c r="L210" s="70"/>
    </row>
    <row r="211" spans="2:12">
      <c r="C211" s="337"/>
      <c r="L211" s="70"/>
    </row>
    <row r="212" spans="2:12" ht="13">
      <c r="B212" s="217" t="s">
        <v>1238</v>
      </c>
      <c r="C212" s="217"/>
      <c r="D212" s="217"/>
      <c r="E212" s="217"/>
      <c r="F212" s="217"/>
      <c r="G212" s="217"/>
      <c r="H212" s="217"/>
      <c r="I212" s="217"/>
      <c r="J212" s="217"/>
      <c r="K212" s="217"/>
      <c r="L212" s="217"/>
    </row>
    <row r="213" spans="2:12" s="214" customFormat="1" ht="17.25" customHeight="1">
      <c r="B213" s="261" t="s">
        <v>71</v>
      </c>
      <c r="C213" s="262" t="s">
        <v>72</v>
      </c>
      <c r="D213" s="262" t="s">
        <v>51</v>
      </c>
      <c r="E213" s="264" t="s">
        <v>83</v>
      </c>
      <c r="F213" s="264"/>
      <c r="G213" s="263" t="s">
        <v>50</v>
      </c>
      <c r="H213" s="263" t="s">
        <v>73</v>
      </c>
      <c r="I213" s="263" t="s">
        <v>74</v>
      </c>
      <c r="J213" s="263" t="s">
        <v>75</v>
      </c>
      <c r="K213" s="263" t="s">
        <v>76</v>
      </c>
      <c r="L213" s="70"/>
    </row>
    <row r="214" spans="2:12">
      <c r="B214" s="37" t="s">
        <v>286</v>
      </c>
      <c r="C214" s="67"/>
      <c r="D214" s="238" t="s">
        <v>243</v>
      </c>
      <c r="L214" s="73"/>
    </row>
    <row r="215" spans="2:12">
      <c r="B215" s="14" t="s">
        <v>256</v>
      </c>
      <c r="C215" s="65">
        <f>_xlfn.XLOOKUP(E216,Long_haul_names_steel_UR,Load_haul_dump_steel_distance_avg)</f>
        <v>22.5</v>
      </c>
      <c r="D215" s="238" t="s">
        <v>86</v>
      </c>
      <c r="L215" s="73"/>
    </row>
    <row r="216" spans="2:12" ht="13">
      <c r="B216" s="14" t="s">
        <v>257</v>
      </c>
      <c r="C216" s="333">
        <f>C215*C214</f>
        <v>0</v>
      </c>
      <c r="D216" s="238" t="s">
        <v>99</v>
      </c>
      <c r="E216" s="77" t="s">
        <v>287</v>
      </c>
      <c r="G216" s="47">
        <f>_xlfn.XLOOKUP(E216,Long_haul_names_steel_UR,Long_haul_rates_steel_UR)</f>
        <v>0.17856380024776791</v>
      </c>
      <c r="H216" s="72"/>
      <c r="I216" s="48">
        <f>IF(H216="",G216,H216)</f>
        <v>0.17856380024776791</v>
      </c>
      <c r="J216" s="238" t="s">
        <v>99</v>
      </c>
      <c r="K216" s="45">
        <f>I216*C216</f>
        <v>0</v>
      </c>
      <c r="L216" s="73"/>
    </row>
    <row r="217" spans="2:12" ht="13">
      <c r="B217" s="56" t="s">
        <v>259</v>
      </c>
      <c r="C217" s="313">
        <f>C214</f>
        <v>0</v>
      </c>
      <c r="D217" s="238" t="s">
        <v>243</v>
      </c>
      <c r="E217" s="80" t="s">
        <v>288</v>
      </c>
      <c r="G217" s="106">
        <f>_xlfn.XLOOKUP(E217,Disposal_gate_fee_names,Disposal_gate_fee_rates)</f>
        <v>0</v>
      </c>
      <c r="H217" s="72"/>
      <c r="I217" s="48">
        <f>IF(H217="",G217,H217)</f>
        <v>0</v>
      </c>
      <c r="J217" s="238" t="s">
        <v>243</v>
      </c>
      <c r="K217" s="45">
        <f>I217*C217</f>
        <v>0</v>
      </c>
      <c r="L217" s="73"/>
    </row>
    <row r="218" spans="2:12" ht="13">
      <c r="B218" s="56" t="s">
        <v>261</v>
      </c>
      <c r="C218" s="313">
        <f>C214</f>
        <v>0</v>
      </c>
      <c r="D218" s="238" t="s">
        <v>243</v>
      </c>
      <c r="E218" s="77" t="s">
        <v>262</v>
      </c>
      <c r="G218" s="106">
        <f>_xlfn.XLOOKUP(E218,Waste_levy_names,Waste_levy_rates)</f>
        <v>83</v>
      </c>
      <c r="H218" s="72"/>
      <c r="I218" s="48">
        <f>IF(H218="",G218,H218)</f>
        <v>83</v>
      </c>
      <c r="J218" s="238" t="s">
        <v>243</v>
      </c>
      <c r="K218" s="45">
        <f>I218*C218</f>
        <v>0</v>
      </c>
      <c r="L218" s="73"/>
    </row>
    <row r="219" spans="2:12">
      <c r="C219" s="286"/>
      <c r="L219" s="73"/>
    </row>
    <row r="220" spans="2:12" ht="13">
      <c r="B220" s="220" t="str">
        <f>B$22</f>
        <v>Totals</v>
      </c>
      <c r="C220" s="339">
        <f>C214</f>
        <v>0</v>
      </c>
      <c r="D220" s="238" t="s">
        <v>243</v>
      </c>
      <c r="G220" s="257"/>
      <c r="H220" s="275" t="str">
        <f>CONCATENATE("Cost to ",B212)</f>
        <v>Cost to Dispose of steel not part of items above</v>
      </c>
      <c r="I220" s="39">
        <f>IF(C220=0,0,K220/C220)</f>
        <v>0</v>
      </c>
      <c r="J220" s="276" t="s">
        <v>407</v>
      </c>
      <c r="K220" s="99">
        <f>SUM(K213:K219)</f>
        <v>0</v>
      </c>
      <c r="L220" s="70"/>
    </row>
    <row r="221" spans="2:12">
      <c r="L221" s="70"/>
    </row>
    <row r="222" spans="2:12" ht="13">
      <c r="B222" s="217" t="s">
        <v>1239</v>
      </c>
      <c r="C222" s="217"/>
      <c r="D222" s="217"/>
      <c r="E222" s="217"/>
      <c r="F222" s="217"/>
      <c r="G222" s="217"/>
      <c r="H222" s="217"/>
      <c r="I222" s="217"/>
      <c r="J222" s="217"/>
      <c r="K222" s="217"/>
      <c r="L222" s="217"/>
    </row>
    <row r="223" spans="2:12" s="214" customFormat="1" ht="19.5" customHeight="1">
      <c r="B223" s="261" t="s">
        <v>71</v>
      </c>
      <c r="C223" s="262" t="s">
        <v>72</v>
      </c>
      <c r="D223" s="262" t="s">
        <v>51</v>
      </c>
      <c r="E223" s="264" t="s">
        <v>83</v>
      </c>
      <c r="F223" s="264"/>
      <c r="G223" s="263" t="s">
        <v>50</v>
      </c>
      <c r="H223" s="263" t="s">
        <v>73</v>
      </c>
      <c r="I223" s="263" t="s">
        <v>74</v>
      </c>
      <c r="J223" s="263" t="s">
        <v>75</v>
      </c>
      <c r="K223" s="263" t="s">
        <v>76</v>
      </c>
      <c r="L223" s="70"/>
    </row>
    <row r="224" spans="2:12">
      <c r="B224" s="37" t="s">
        <v>291</v>
      </c>
      <c r="C224" s="67"/>
      <c r="D224" s="238" t="s">
        <v>243</v>
      </c>
      <c r="L224" s="73"/>
    </row>
    <row r="225" spans="2:12">
      <c r="B225" s="14" t="s">
        <v>256</v>
      </c>
      <c r="C225" s="65">
        <f>_xlfn.XLOOKUP(E226,Load_haul_dump_soil_ameliorants_from_off_site_names_UR,Load_haul_dump_growth_media_distance_avg)</f>
        <v>22.5</v>
      </c>
      <c r="D225" s="238" t="s">
        <v>86</v>
      </c>
      <c r="L225" s="73"/>
    </row>
    <row r="226" spans="2:12" ht="13">
      <c r="B226" s="14" t="s">
        <v>257</v>
      </c>
      <c r="C226" s="341">
        <f>C225*C224</f>
        <v>0</v>
      </c>
      <c r="D226" s="238" t="s">
        <v>99</v>
      </c>
      <c r="E226" s="77" t="s">
        <v>246</v>
      </c>
      <c r="G226" s="47">
        <f>_xlfn.XLOOKUP(E226,Load_haul_dump_soil_ameliorants_from_off_site_names_UR,Load_haul_dump_soil_ameliorants_from_off_site_rates_UR)</f>
        <v>0.11200692041522493</v>
      </c>
      <c r="H226" s="72"/>
      <c r="I226" s="48">
        <f>IF(H226="",G226,H226)</f>
        <v>0.11200692041522493</v>
      </c>
      <c r="J226" s="238" t="s">
        <v>99</v>
      </c>
      <c r="K226" s="45">
        <f>I226*C226</f>
        <v>0</v>
      </c>
      <c r="L226" s="73"/>
    </row>
    <row r="227" spans="2:12" ht="13">
      <c r="B227" s="56" t="s">
        <v>259</v>
      </c>
      <c r="C227" s="313">
        <f>C224</f>
        <v>0</v>
      </c>
      <c r="D227" s="238" t="s">
        <v>243</v>
      </c>
      <c r="E227" s="80" t="s">
        <v>292</v>
      </c>
      <c r="G227" s="106">
        <f>_xlfn.XLOOKUP(E227,Disposal_gate_fee_names,Disposal_gate_fee_rates)</f>
        <v>275</v>
      </c>
      <c r="H227" s="72"/>
      <c r="I227" s="48">
        <f>IF(H227="",G227,H227)</f>
        <v>275</v>
      </c>
      <c r="J227" s="238" t="s">
        <v>243</v>
      </c>
      <c r="K227" s="45">
        <f>I227*C227</f>
        <v>0</v>
      </c>
      <c r="L227" s="73"/>
    </row>
    <row r="228" spans="2:12" ht="13">
      <c r="B228" s="56" t="s">
        <v>261</v>
      </c>
      <c r="C228" s="313">
        <f>C224</f>
        <v>0</v>
      </c>
      <c r="D228" s="238" t="s">
        <v>243</v>
      </c>
      <c r="E228" s="77" t="s">
        <v>262</v>
      </c>
      <c r="G228" s="106">
        <f>_xlfn.XLOOKUP(E228,Waste_levy_names,Waste_levy_rates)</f>
        <v>83</v>
      </c>
      <c r="H228" s="72"/>
      <c r="I228" s="48">
        <f>IF(H228="",G228,H228)</f>
        <v>83</v>
      </c>
      <c r="J228" s="238" t="s">
        <v>243</v>
      </c>
      <c r="K228" s="45">
        <f>I228*C228</f>
        <v>0</v>
      </c>
      <c r="L228" s="70"/>
    </row>
    <row r="229" spans="2:12">
      <c r="C229" s="286"/>
      <c r="L229" s="73"/>
    </row>
    <row r="230" spans="2:12" ht="13">
      <c r="B230" s="220" t="str">
        <f>B$22</f>
        <v>Totals</v>
      </c>
      <c r="C230" s="339">
        <f>C224</f>
        <v>0</v>
      </c>
      <c r="D230" s="238" t="s">
        <v>243</v>
      </c>
      <c r="G230" s="257"/>
      <c r="H230" s="275" t="str">
        <f>CONCATENATE("Cost to ",B222)</f>
        <v>Cost to Dispose of soil (by mass)</v>
      </c>
      <c r="I230" s="39">
        <f>IF(C230=0,0,K230/C230)</f>
        <v>0</v>
      </c>
      <c r="J230" s="276" t="s">
        <v>284</v>
      </c>
      <c r="K230" s="99">
        <f>SUM(K223:K229)</f>
        <v>0</v>
      </c>
      <c r="L230" s="70"/>
    </row>
    <row r="231" spans="2:12">
      <c r="L231" s="70"/>
    </row>
    <row r="232" spans="2:12" ht="13">
      <c r="B232" s="217" t="s">
        <v>294</v>
      </c>
      <c r="C232" s="217"/>
      <c r="D232" s="217"/>
      <c r="E232" s="217"/>
      <c r="F232" s="217"/>
      <c r="G232" s="217"/>
      <c r="H232" s="217"/>
      <c r="I232" s="217"/>
      <c r="J232" s="217"/>
      <c r="K232" s="217"/>
      <c r="L232" s="217"/>
    </row>
    <row r="233" spans="2:12" s="257" customFormat="1" ht="23.5" customHeight="1">
      <c r="B233" s="267" t="s">
        <v>71</v>
      </c>
      <c r="C233" s="268" t="s">
        <v>72</v>
      </c>
      <c r="D233" s="268" t="s">
        <v>51</v>
      </c>
      <c r="E233" s="271" t="s">
        <v>83</v>
      </c>
      <c r="F233" s="271"/>
      <c r="G233" s="270" t="s">
        <v>50</v>
      </c>
      <c r="H233" s="270" t="s">
        <v>73</v>
      </c>
      <c r="I233" s="270" t="s">
        <v>74</v>
      </c>
      <c r="J233" s="270" t="s">
        <v>75</v>
      </c>
      <c r="K233" s="270" t="s">
        <v>76</v>
      </c>
      <c r="L233" s="70"/>
    </row>
    <row r="234" spans="2:12" s="257" customFormat="1" ht="13">
      <c r="B234" s="37" t="s">
        <v>295</v>
      </c>
      <c r="C234" s="69"/>
      <c r="D234" s="257" t="s">
        <v>296</v>
      </c>
      <c r="E234" s="77" t="s">
        <v>1310</v>
      </c>
      <c r="G234" s="38">
        <f>_xlfn.XLOOKUP(E234,'Cost Schedule'!B358:B377,'Cost Schedule'!C358:C377)</f>
        <v>62000</v>
      </c>
      <c r="H234" s="72"/>
      <c r="I234" s="39">
        <f t="shared" ref="I234:I235" si="17">IF(H234="",G234,H234)</f>
        <v>62000</v>
      </c>
      <c r="J234" s="257" t="s">
        <v>296</v>
      </c>
      <c r="K234" s="45">
        <f>I234*C234</f>
        <v>0</v>
      </c>
      <c r="L234" s="73"/>
    </row>
    <row r="235" spans="2:12" s="257" customFormat="1" ht="13">
      <c r="B235" s="37" t="s">
        <v>298</v>
      </c>
      <c r="C235" s="69"/>
      <c r="D235" s="257" t="s">
        <v>296</v>
      </c>
      <c r="E235" s="77" t="s">
        <v>460</v>
      </c>
      <c r="G235" s="38">
        <f>_xlfn.XLOOKUP(E235,'Cost Schedule'!B359:B378,'Cost Schedule'!C359:C378)</f>
        <v>69000</v>
      </c>
      <c r="H235" s="72"/>
      <c r="I235" s="39">
        <f t="shared" si="17"/>
        <v>69000</v>
      </c>
      <c r="J235" s="257" t="s">
        <v>296</v>
      </c>
      <c r="K235" s="45">
        <f t="shared" ref="K235:K236" si="18">I235*C235</f>
        <v>0</v>
      </c>
      <c r="L235" s="73"/>
    </row>
    <row r="236" spans="2:12" s="257" customFormat="1" ht="13">
      <c r="B236" s="37" t="s">
        <v>300</v>
      </c>
      <c r="C236" s="69"/>
      <c r="D236" s="257" t="s">
        <v>296</v>
      </c>
      <c r="E236" s="77" t="s">
        <v>461</v>
      </c>
      <c r="G236" s="38">
        <f>_xlfn.XLOOKUP(E236,'Cost Schedule'!B360:B379,'Cost Schedule'!C360:C379)</f>
        <v>111000</v>
      </c>
      <c r="H236" s="72"/>
      <c r="I236" s="39">
        <f>IF(H236="",G236,H236)</f>
        <v>111000</v>
      </c>
      <c r="J236" s="257" t="s">
        <v>296</v>
      </c>
      <c r="K236" s="45">
        <f t="shared" si="18"/>
        <v>0</v>
      </c>
      <c r="L236" s="73"/>
    </row>
    <row r="237" spans="2:12" s="257" customFormat="1">
      <c r="C237" s="342"/>
      <c r="K237" s="238"/>
      <c r="L237" s="73"/>
    </row>
    <row r="238" spans="2:12" s="257" customFormat="1" ht="13">
      <c r="B238" s="220" t="str">
        <f>B$22</f>
        <v>Totals</v>
      </c>
      <c r="C238" s="340">
        <f>SUM(C234:C236)</f>
        <v>0</v>
      </c>
      <c r="D238" s="257" t="s">
        <v>302</v>
      </c>
      <c r="H238" s="275" t="str">
        <f>CONCATENATE("Cost to ",B232)</f>
        <v>Cost to Mobilisation</v>
      </c>
      <c r="I238" s="39">
        <f>IF(C238=0,0,K238/C238)</f>
        <v>0</v>
      </c>
      <c r="J238" s="276" t="s">
        <v>420</v>
      </c>
      <c r="K238" s="35">
        <f>SUM(K233:K237)</f>
        <v>0</v>
      </c>
      <c r="L238" s="70"/>
    </row>
    <row r="239" spans="2:12" s="257" customFormat="1">
      <c r="L239" s="70"/>
    </row>
    <row r="240" spans="2:12" ht="13">
      <c r="B240" s="217" t="s">
        <v>1240</v>
      </c>
      <c r="C240" s="217"/>
      <c r="D240" s="217"/>
      <c r="E240" s="217"/>
      <c r="F240" s="217"/>
      <c r="G240" s="217"/>
      <c r="H240" s="217"/>
      <c r="I240" s="217"/>
      <c r="J240" s="217"/>
      <c r="K240" s="217"/>
      <c r="L240" s="217"/>
    </row>
    <row r="241" spans="2:12" s="214" customFormat="1" ht="18.75" customHeight="1">
      <c r="B241" s="261" t="s">
        <v>71</v>
      </c>
      <c r="C241" s="262" t="s">
        <v>72</v>
      </c>
      <c r="D241" s="262" t="s">
        <v>51</v>
      </c>
      <c r="E241" s="264"/>
      <c r="F241" s="264"/>
      <c r="G241" s="263" t="s">
        <v>50</v>
      </c>
      <c r="H241" s="263" t="s">
        <v>73</v>
      </c>
      <c r="I241" s="263" t="s">
        <v>74</v>
      </c>
      <c r="J241" s="263" t="s">
        <v>75</v>
      </c>
      <c r="K241" s="263" t="s">
        <v>76</v>
      </c>
      <c r="L241" s="70"/>
    </row>
    <row r="242" spans="2:12" ht="13">
      <c r="B242" s="37" t="s">
        <v>306</v>
      </c>
      <c r="C242" s="69"/>
      <c r="D242" s="238" t="s">
        <v>305</v>
      </c>
      <c r="G242" s="38"/>
      <c r="H242" s="72"/>
      <c r="I242" s="39">
        <f t="shared" ref="I242:I244" si="19">IF(H242="",G242,H242)</f>
        <v>0</v>
      </c>
      <c r="J242" s="257" t="s">
        <v>305</v>
      </c>
      <c r="K242" s="45">
        <f>I242*C242</f>
        <v>0</v>
      </c>
      <c r="L242" s="73"/>
    </row>
    <row r="243" spans="2:12" ht="13">
      <c r="B243" s="37" t="s">
        <v>307</v>
      </c>
      <c r="C243" s="69"/>
      <c r="D243" s="238" t="s">
        <v>305</v>
      </c>
      <c r="G243" s="38"/>
      <c r="H243" s="72"/>
      <c r="I243" s="39">
        <f t="shared" si="19"/>
        <v>0</v>
      </c>
      <c r="J243" s="257" t="s">
        <v>305</v>
      </c>
      <c r="K243" s="45">
        <f t="shared" ref="K243:K244" si="20">I243*C243</f>
        <v>0</v>
      </c>
      <c r="L243" s="70"/>
    </row>
    <row r="244" spans="2:12" ht="13">
      <c r="B244" s="81" t="s">
        <v>1345</v>
      </c>
      <c r="C244" s="69"/>
      <c r="D244" s="238" t="s">
        <v>305</v>
      </c>
      <c r="G244" s="47"/>
      <c r="H244" s="72"/>
      <c r="I244" s="48">
        <f t="shared" si="19"/>
        <v>0</v>
      </c>
      <c r="J244" s="257" t="s">
        <v>305</v>
      </c>
      <c r="K244" s="45">
        <f t="shared" si="20"/>
        <v>0</v>
      </c>
      <c r="L244" s="73"/>
    </row>
    <row r="245" spans="2:12" ht="13">
      <c r="B245" s="81" t="s">
        <v>1345</v>
      </c>
      <c r="C245" s="69"/>
      <c r="D245" s="238" t="s">
        <v>305</v>
      </c>
      <c r="G245" s="47"/>
      <c r="H245" s="72"/>
      <c r="I245" s="48">
        <f>IF(H245="",G245,H245)</f>
        <v>0</v>
      </c>
      <c r="J245" s="257" t="s">
        <v>305</v>
      </c>
      <c r="K245" s="45">
        <f>I245*C245</f>
        <v>0</v>
      </c>
      <c r="L245" s="70"/>
    </row>
    <row r="246" spans="2:12" ht="13">
      <c r="B246" s="81" t="s">
        <v>1345</v>
      </c>
      <c r="C246" s="69"/>
      <c r="D246" s="238" t="s">
        <v>305</v>
      </c>
      <c r="G246" s="47"/>
      <c r="H246" s="72"/>
      <c r="I246" s="48">
        <f>IF(H246="",G246,H246)</f>
        <v>0</v>
      </c>
      <c r="J246" s="257" t="s">
        <v>305</v>
      </c>
      <c r="K246" s="45">
        <f>I246*C246</f>
        <v>0</v>
      </c>
      <c r="L246" s="73"/>
    </row>
    <row r="247" spans="2:12">
      <c r="C247" s="335"/>
      <c r="L247" s="73"/>
    </row>
    <row r="248" spans="2:12" ht="13">
      <c r="B248" s="220" t="str">
        <f>B$22</f>
        <v>Totals</v>
      </c>
      <c r="C248" s="340">
        <f>SUM(C241:C247)</f>
        <v>0</v>
      </c>
      <c r="D248" s="238" t="s">
        <v>308</v>
      </c>
      <c r="G248" s="257"/>
      <c r="H248" s="275" t="str">
        <f>CONCATENATE("Cost to ",B240)</f>
        <v>Cost to Report and document</v>
      </c>
      <c r="I248" s="39">
        <f>IF(C248=0,0,K248/C248)</f>
        <v>0</v>
      </c>
      <c r="J248" s="276" t="s">
        <v>462</v>
      </c>
      <c r="K248" s="99">
        <f>SUM(K241:K247)</f>
        <v>0</v>
      </c>
      <c r="L248" s="70"/>
    </row>
    <row r="249" spans="2:12">
      <c r="L249" s="70"/>
    </row>
    <row r="250" spans="2:12" ht="13">
      <c r="B250" s="217" t="s">
        <v>310</v>
      </c>
      <c r="C250" s="217"/>
      <c r="D250" s="217"/>
      <c r="E250" s="217"/>
      <c r="F250" s="217"/>
      <c r="G250" s="217"/>
      <c r="H250" s="217"/>
      <c r="I250" s="217"/>
      <c r="J250" s="217"/>
      <c r="K250" s="217"/>
      <c r="L250" s="217"/>
    </row>
    <row r="251" spans="2:12" s="214" customFormat="1" ht="21" customHeight="1">
      <c r="B251" s="261" t="s">
        <v>71</v>
      </c>
      <c r="C251" s="262" t="s">
        <v>72</v>
      </c>
      <c r="D251" s="262" t="s">
        <v>51</v>
      </c>
      <c r="E251" s="264" t="s">
        <v>59</v>
      </c>
      <c r="F251" s="264"/>
      <c r="G251" s="263"/>
      <c r="H251" s="263" t="s">
        <v>73</v>
      </c>
      <c r="I251" s="263" t="s">
        <v>74</v>
      </c>
      <c r="J251" s="263" t="s">
        <v>75</v>
      </c>
      <c r="K251" s="263" t="s">
        <v>76</v>
      </c>
      <c r="L251" s="70"/>
    </row>
    <row r="252" spans="2:12" ht="13">
      <c r="B252" s="81" t="s">
        <v>311</v>
      </c>
      <c r="C252" s="67"/>
      <c r="D252" s="83"/>
      <c r="E252" s="70"/>
      <c r="H252" s="72"/>
      <c r="I252" s="48">
        <f t="shared" ref="I252:I254" si="21">IF(H252="",G252,H252)</f>
        <v>0</v>
      </c>
      <c r="J252" s="306">
        <f>D252</f>
        <v>0</v>
      </c>
      <c r="K252" s="45">
        <f t="shared" ref="K252:K257" si="22">I252*C252</f>
        <v>0</v>
      </c>
      <c r="L252" s="73"/>
    </row>
    <row r="253" spans="2:12" ht="13">
      <c r="B253" s="81" t="s">
        <v>311</v>
      </c>
      <c r="C253" s="67"/>
      <c r="D253" s="83"/>
      <c r="E253" s="70"/>
      <c r="H253" s="72"/>
      <c r="I253" s="48">
        <f t="shared" si="21"/>
        <v>0</v>
      </c>
      <c r="J253" s="306">
        <f t="shared" ref="J253:J257" si="23">D253</f>
        <v>0</v>
      </c>
      <c r="K253" s="45">
        <f t="shared" si="22"/>
        <v>0</v>
      </c>
      <c r="L253" s="70"/>
    </row>
    <row r="254" spans="2:12" ht="13">
      <c r="B254" s="81" t="s">
        <v>311</v>
      </c>
      <c r="C254" s="67"/>
      <c r="D254" s="83"/>
      <c r="E254" s="70"/>
      <c r="H254" s="72"/>
      <c r="I254" s="48">
        <f t="shared" si="21"/>
        <v>0</v>
      </c>
      <c r="J254" s="306">
        <f t="shared" si="23"/>
        <v>0</v>
      </c>
      <c r="K254" s="45">
        <f t="shared" si="22"/>
        <v>0</v>
      </c>
      <c r="L254" s="73"/>
    </row>
    <row r="255" spans="2:12" ht="13">
      <c r="B255" s="81" t="s">
        <v>311</v>
      </c>
      <c r="C255" s="67"/>
      <c r="D255" s="83"/>
      <c r="E255" s="70"/>
      <c r="H255" s="72"/>
      <c r="I255" s="48">
        <f>IF(H255="",G255,H255)</f>
        <v>0</v>
      </c>
      <c r="J255" s="306">
        <f t="shared" si="23"/>
        <v>0</v>
      </c>
      <c r="K255" s="45">
        <f t="shared" si="22"/>
        <v>0</v>
      </c>
      <c r="L255" s="70"/>
    </row>
    <row r="256" spans="2:12" ht="13">
      <c r="B256" s="81" t="s">
        <v>311</v>
      </c>
      <c r="C256" s="67"/>
      <c r="D256" s="83"/>
      <c r="E256" s="70"/>
      <c r="H256" s="72"/>
      <c r="I256" s="48">
        <f>IF(H256="",G256,H256)</f>
        <v>0</v>
      </c>
      <c r="J256" s="306">
        <f t="shared" si="23"/>
        <v>0</v>
      </c>
      <c r="K256" s="45">
        <f t="shared" si="22"/>
        <v>0</v>
      </c>
      <c r="L256" s="73"/>
    </row>
    <row r="257" spans="2:12" ht="13">
      <c r="B257" s="81" t="s">
        <v>311</v>
      </c>
      <c r="C257" s="67"/>
      <c r="D257" s="83"/>
      <c r="E257" s="70"/>
      <c r="H257" s="72"/>
      <c r="I257" s="48">
        <f>IF(H257="",G257,H257)</f>
        <v>0</v>
      </c>
      <c r="J257" s="306">
        <f t="shared" si="23"/>
        <v>0</v>
      </c>
      <c r="K257" s="45">
        <f t="shared" si="22"/>
        <v>0</v>
      </c>
      <c r="L257" s="70"/>
    </row>
    <row r="258" spans="2:12">
      <c r="C258" s="286"/>
      <c r="L258" s="73"/>
    </row>
    <row r="259" spans="2:12" ht="13">
      <c r="B259" s="220" t="str">
        <f>B$22</f>
        <v>Totals</v>
      </c>
      <c r="C259" s="339">
        <f>SUM(C251:C258)</f>
        <v>0</v>
      </c>
      <c r="D259" s="306">
        <f>D252</f>
        <v>0</v>
      </c>
      <c r="G259" s="257"/>
      <c r="H259" s="275" t="s">
        <v>312</v>
      </c>
      <c r="I259" s="48">
        <f>IF(C259=0,0,K259/C259)</f>
        <v>0</v>
      </c>
      <c r="J259" s="307" t="s">
        <v>313</v>
      </c>
      <c r="K259" s="99">
        <f>SUM(K251:K258)</f>
        <v>0</v>
      </c>
      <c r="L259" s="70"/>
    </row>
    <row r="260" spans="2:12">
      <c r="L260" s="70"/>
    </row>
    <row r="261" spans="2:12" ht="13">
      <c r="B261" s="217" t="s">
        <v>314</v>
      </c>
      <c r="C261" s="217"/>
      <c r="D261" s="217"/>
      <c r="E261" s="217"/>
      <c r="F261" s="217"/>
      <c r="G261" s="217"/>
      <c r="H261" s="217"/>
      <c r="I261" s="217"/>
      <c r="J261" s="217"/>
      <c r="K261" s="217"/>
      <c r="L261" s="217"/>
    </row>
    <row r="262" spans="2:12" s="257" customFormat="1" ht="21.65" customHeight="1">
      <c r="B262" s="296" t="s">
        <v>71</v>
      </c>
      <c r="C262" s="297" t="s">
        <v>72</v>
      </c>
      <c r="D262" s="297" t="s">
        <v>51</v>
      </c>
      <c r="E262" s="264"/>
      <c r="F262" s="344" t="s">
        <v>317</v>
      </c>
      <c r="G262" s="298" t="s">
        <v>50</v>
      </c>
      <c r="H262" s="298" t="s">
        <v>73</v>
      </c>
      <c r="I262" s="298" t="s">
        <v>74</v>
      </c>
      <c r="J262" s="298" t="s">
        <v>75</v>
      </c>
      <c r="K262" s="298" t="s">
        <v>76</v>
      </c>
      <c r="L262" s="70"/>
    </row>
    <row r="263" spans="2:12" s="257" customFormat="1" ht="13">
      <c r="B263" s="37" t="s">
        <v>318</v>
      </c>
      <c r="C263" s="58">
        <v>0.1</v>
      </c>
      <c r="D263" s="84"/>
      <c r="E263" s="300" t="s">
        <v>319</v>
      </c>
      <c r="F263" s="309">
        <f>SUM(K22,K90,K104,K111,K121,K131,K151,K168,K181,K210,K220,K230,K238,K248,K259)</f>
        <v>0</v>
      </c>
      <c r="G263" s="38">
        <f>F$263*IF(D263="",C263,D263)</f>
        <v>0</v>
      </c>
      <c r="H263" s="72"/>
      <c r="I263" s="39">
        <f>IF(H263="",G263,H263)</f>
        <v>0</v>
      </c>
      <c r="K263" s="45">
        <f>I263</f>
        <v>0</v>
      </c>
      <c r="L263" s="73"/>
    </row>
    <row r="264" spans="2:12" s="257" customFormat="1" ht="13">
      <c r="B264" s="37" t="s">
        <v>320</v>
      </c>
      <c r="C264" s="58">
        <v>0.05</v>
      </c>
      <c r="D264" s="84"/>
      <c r="E264" s="300" t="s">
        <v>319</v>
      </c>
      <c r="G264" s="38">
        <f t="shared" ref="G264:G265" si="24">F$263*IF(D264="",C264,D264)</f>
        <v>0</v>
      </c>
      <c r="H264" s="72"/>
      <c r="I264" s="39">
        <f t="shared" ref="I264:I265" si="25">IF(H264="",G264,H264)</f>
        <v>0</v>
      </c>
      <c r="K264" s="45">
        <f t="shared" ref="K264:K265" si="26">I264</f>
        <v>0</v>
      </c>
      <c r="L264" s="70"/>
    </row>
    <row r="265" spans="2:12" s="257" customFormat="1" ht="13">
      <c r="B265" s="59" t="s">
        <v>321</v>
      </c>
      <c r="C265" s="58">
        <v>0.1</v>
      </c>
      <c r="D265" s="84"/>
      <c r="E265" s="300" t="s">
        <v>319</v>
      </c>
      <c r="G265" s="38">
        <f t="shared" si="24"/>
        <v>0</v>
      </c>
      <c r="H265" s="72"/>
      <c r="I265" s="39">
        <f t="shared" si="25"/>
        <v>0</v>
      </c>
      <c r="K265" s="45">
        <f t="shared" si="26"/>
        <v>0</v>
      </c>
      <c r="L265" s="73"/>
    </row>
    <row r="266" spans="2:12">
      <c r="L266" s="73"/>
    </row>
    <row r="267" spans="2:12" s="257" customFormat="1" ht="13">
      <c r="H267" s="275"/>
      <c r="J267" s="276" t="s">
        <v>313</v>
      </c>
      <c r="K267" s="35">
        <f>SUM(K262:K266)</f>
        <v>0</v>
      </c>
      <c r="L267" s="73"/>
    </row>
    <row r="268" spans="2:12" s="257" customFormat="1">
      <c r="C268" s="238"/>
      <c r="J268" s="238"/>
      <c r="L268" s="73"/>
    </row>
    <row r="269" spans="2:12" ht="13">
      <c r="B269" s="217" t="s">
        <v>53</v>
      </c>
      <c r="C269" s="217"/>
      <c r="D269" s="217"/>
      <c r="E269" s="217"/>
      <c r="F269" s="217"/>
      <c r="G269" s="217"/>
      <c r="H269" s="217"/>
      <c r="I269" s="217"/>
      <c r="J269" s="217"/>
      <c r="K269" s="217"/>
      <c r="L269" s="217"/>
    </row>
    <row r="270" spans="2:12" ht="21.75" customHeight="1">
      <c r="B270" s="261" t="s">
        <v>1173</v>
      </c>
      <c r="C270" s="262" t="s">
        <v>322</v>
      </c>
      <c r="D270" s="262" t="s">
        <v>1327</v>
      </c>
      <c r="E270" s="264" t="s">
        <v>323</v>
      </c>
      <c r="F270" s="264"/>
      <c r="G270" s="263" t="s">
        <v>50</v>
      </c>
      <c r="H270" s="263" t="s">
        <v>73</v>
      </c>
      <c r="I270" s="263" t="s">
        <v>74</v>
      </c>
      <c r="J270" s="263" t="s">
        <v>75</v>
      </c>
      <c r="K270" s="263" t="s">
        <v>76</v>
      </c>
      <c r="L270" s="73"/>
    </row>
    <row r="271" spans="2:12" ht="13">
      <c r="B271" s="14" t="s">
        <v>324</v>
      </c>
      <c r="D271" s="310"/>
      <c r="E271" s="334" t="str">
        <f>C$14</f>
        <v>Select make and model</v>
      </c>
      <c r="F271" s="264"/>
      <c r="L271" s="73"/>
    </row>
    <row r="272" spans="2:12" ht="13">
      <c r="B272" s="37" t="s">
        <v>330</v>
      </c>
      <c r="C272" s="112"/>
      <c r="D272" s="107"/>
      <c r="F272" s="264"/>
      <c r="L272" s="73"/>
    </row>
    <row r="273" spans="2:12" ht="13">
      <c r="B273" s="37" t="str" cm="1">
        <f t="array" ref="B273:B281">Batteries!B8:B16</f>
        <v>Steel (carbon/stainless)</v>
      </c>
      <c r="C273" s="112"/>
      <c r="D273" s="313"/>
      <c r="E273" s="70"/>
      <c r="G273" s="47">
        <f>Scrap_glass_rate</f>
        <v>0</v>
      </c>
      <c r="H273" s="72"/>
      <c r="I273" s="48">
        <f>IF(H273="",G273,H273)</f>
        <v>0</v>
      </c>
      <c r="J273" s="238" t="s">
        <v>325</v>
      </c>
      <c r="K273" s="45"/>
      <c r="L273" s="73"/>
    </row>
    <row r="274" spans="2:12" ht="13">
      <c r="B274" s="37" t="str">
        <v>Copper</v>
      </c>
      <c r="C274" s="112"/>
      <c r="D274" s="313"/>
      <c r="E274" s="70"/>
      <c r="G274" s="47">
        <f>Scrap_copper_and_alloy_rate</f>
        <v>5</v>
      </c>
      <c r="H274" s="72"/>
      <c r="I274" s="48">
        <f t="shared" ref="I274:I281" si="27">IF(H274="",G274,H274)</f>
        <v>5</v>
      </c>
      <c r="J274" s="238" t="s">
        <v>325</v>
      </c>
      <c r="K274" s="45"/>
      <c r="L274" s="73"/>
    </row>
    <row r="275" spans="2:12" ht="13">
      <c r="B275" s="37" t="str">
        <v>Aluminium</v>
      </c>
      <c r="C275" s="112"/>
      <c r="D275" s="313"/>
      <c r="E275" s="70"/>
      <c r="G275" s="47">
        <f>Scrap_aluminium_and_alloy_rate</f>
        <v>2.5</v>
      </c>
      <c r="H275" s="72"/>
      <c r="I275" s="48">
        <f t="shared" si="27"/>
        <v>2.5</v>
      </c>
      <c r="J275" s="238" t="s">
        <v>325</v>
      </c>
      <c r="K275" s="45"/>
      <c r="L275" s="73"/>
    </row>
    <row r="276" spans="2:12" ht="13">
      <c r="B276" s="37" t="str">
        <v>Lithium-iron-phosphate cells</v>
      </c>
      <c r="C276" s="112"/>
      <c r="D276" s="313"/>
      <c r="E276" s="70"/>
      <c r="G276" s="47">
        <v>0</v>
      </c>
      <c r="H276" s="72"/>
      <c r="I276" s="48">
        <f t="shared" si="27"/>
        <v>0</v>
      </c>
      <c r="J276" s="238" t="s">
        <v>325</v>
      </c>
      <c r="K276" s="45"/>
      <c r="L276" s="73"/>
    </row>
    <row r="277" spans="2:12" ht="13">
      <c r="B277" s="37" t="str">
        <v>Electronics</v>
      </c>
      <c r="C277" s="112"/>
      <c r="D277" s="313"/>
      <c r="E277" s="70"/>
      <c r="G277" s="86">
        <v>0</v>
      </c>
      <c r="H277" s="72"/>
      <c r="I277" s="48">
        <f t="shared" si="27"/>
        <v>0</v>
      </c>
      <c r="J277" s="238" t="s">
        <v>325</v>
      </c>
      <c r="K277" s="45"/>
      <c r="L277" s="73"/>
    </row>
    <row r="278" spans="2:12" ht="13">
      <c r="B278" s="37" t="str">
        <v>Plastics/polymers</v>
      </c>
      <c r="C278" s="112"/>
      <c r="D278" s="313"/>
      <c r="E278" s="70"/>
      <c r="G278" s="86">
        <v>0</v>
      </c>
      <c r="H278" s="72"/>
      <c r="I278" s="48">
        <f t="shared" si="27"/>
        <v>0</v>
      </c>
      <c r="J278" s="238" t="s">
        <v>325</v>
      </c>
      <c r="K278" s="45"/>
      <c r="L278" s="73"/>
    </row>
    <row r="279" spans="2:12" ht="13">
      <c r="B279" s="37" t="str">
        <v>Cooling fluids/misc. liquids</v>
      </c>
      <c r="C279" s="112"/>
      <c r="D279" s="313"/>
      <c r="E279" s="70"/>
      <c r="G279" s="86">
        <v>0</v>
      </c>
      <c r="H279" s="72"/>
      <c r="I279" s="48">
        <f t="shared" si="27"/>
        <v>0</v>
      </c>
      <c r="J279" s="238" t="s">
        <v>325</v>
      </c>
      <c r="K279" s="45"/>
      <c r="L279" s="73"/>
    </row>
    <row r="280" spans="2:12" ht="13">
      <c r="B280" s="37" t="str">
        <v>Glass/ceramics/insulation</v>
      </c>
      <c r="C280" s="112"/>
      <c r="D280" s="313"/>
      <c r="E280" s="70"/>
      <c r="G280" s="86">
        <v>0</v>
      </c>
      <c r="H280" s="72"/>
      <c r="I280" s="48">
        <f t="shared" si="27"/>
        <v>0</v>
      </c>
      <c r="J280" s="238" t="s">
        <v>325</v>
      </c>
      <c r="K280" s="45"/>
      <c r="L280" s="73"/>
    </row>
    <row r="281" spans="2:12" ht="13">
      <c r="B281" s="37" t="str">
        <v>Other (paint, gaskets, fasteners)</v>
      </c>
      <c r="C281" s="112"/>
      <c r="D281" s="313"/>
      <c r="E281" s="70"/>
      <c r="G281" s="86">
        <v>0</v>
      </c>
      <c r="H281" s="72"/>
      <c r="I281" s="48">
        <f t="shared" si="27"/>
        <v>0</v>
      </c>
      <c r="J281" s="238" t="s">
        <v>325</v>
      </c>
      <c r="K281" s="45"/>
      <c r="L281" s="73"/>
    </row>
    <row r="282" spans="2:12">
      <c r="L282" s="73"/>
    </row>
    <row r="283" spans="2:12" ht="13">
      <c r="H283" s="265" t="s">
        <v>326</v>
      </c>
      <c r="I283" s="48">
        <f>IF(C15=0,0,K283/C15)</f>
        <v>0</v>
      </c>
      <c r="J283" s="266" t="s">
        <v>452</v>
      </c>
      <c r="K283" s="99">
        <f>SUM(K270:K282)</f>
        <v>0</v>
      </c>
      <c r="L283" s="73"/>
    </row>
    <row r="284" spans="2:12">
      <c r="L284" s="73"/>
    </row>
  </sheetData>
  <sheetProtection algorithmName="SHA-512" hashValue="Fo18PO77kEYDUcCriVYzX0DIgGva0OKNgSEqlG9uX1PBah+m2cGC/r4rsrx9RHgPnEyj4buAVhVErTCa1pBK2g==" saltValue="o7JLE3oexuu2cqGJiS8h2g==" spinCount="100000" sheet="1" objects="1" scenarios="1" autoFilter="0"/>
  <phoneticPr fontId="8" type="noConversion"/>
  <dataValidations count="29">
    <dataValidation type="list" allowBlank="1" showInputMessage="1" showErrorMessage="1" sqref="E206" xr:uid="{00881755-E8F8-401D-9858-8E1918983063}">
      <formula1>Long_haul_names_concrete_UR</formula1>
    </dataValidation>
    <dataValidation type="list" allowBlank="1" showInputMessage="1" showErrorMessage="1" sqref="E216" xr:uid="{87887971-3755-466B-8DF9-99B17E27BC5D}">
      <formula1>Long_haul_names_steel_UR</formula1>
    </dataValidation>
    <dataValidation type="list" allowBlank="1" showInputMessage="1" showErrorMessage="1" sqref="E53 E45 E37" xr:uid="{430DC5C5-D05A-4983-8464-423AF32227C2}">
      <formula1>Long_haul_names_modules_UR</formula1>
    </dataValidation>
    <dataValidation type="list" allowBlank="1" showInputMessage="1" showErrorMessage="1" sqref="E179" xr:uid="{CC85E847-84B1-4509-A5F6-1D39A3255A97}">
      <formula1>Revegetation_names_UR</formula1>
    </dataValidation>
    <dataValidation type="list" allowBlank="1" showInputMessage="1" showErrorMessage="1" sqref="E125:E129" xr:uid="{CD264D42-F7C3-4063-AD56-90DBEFB3EEE0}">
      <formula1>Buildings_by_number_names_UR</formula1>
    </dataValidation>
    <dataValidation type="list" allowBlank="1" showInputMessage="1" showErrorMessage="1" sqref="E147" xr:uid="{7FCD0BBF-C59C-4C7F-9748-70381A56C1A6}">
      <formula1>Load_haul_dump_growth_media_onsite_names_UR</formula1>
    </dataValidation>
    <dataValidation type="list" allowBlank="1" showInputMessage="1" showErrorMessage="1" sqref="E71:E88" xr:uid="{66B008B4-9DC4-497D-928E-CF321D02ADA6}">
      <formula1>Roads_tracks_laydown_list_UR</formula1>
    </dataValidation>
    <dataValidation type="list" allowBlank="1" showInputMessage="1" showErrorMessage="1" sqref="E120 E130" xr:uid="{0221FEA2-95F3-4827-A744-B07F33C13B36}">
      <formula1>Buildings_by_area_names_UR</formula1>
    </dataValidation>
    <dataValidation type="list" allowBlank="1" showInputMessage="1" showErrorMessage="1" sqref="E164" xr:uid="{03595380-051A-4EFD-B4D2-2CEA869D0EF4}">
      <formula1>Ameliorants_names</formula1>
    </dataValidation>
    <dataValidation type="list" allowBlank="1" showInputMessage="1" showErrorMessage="1" sqref="E217 E227 E207" xr:uid="{AC9B7FDC-92AB-4457-BC80-79F259A564AD}">
      <formula1>Disposal_gate_fee_names</formula1>
    </dataValidation>
    <dataValidation type="list" allowBlank="1" showInputMessage="1" showErrorMessage="1" sqref="E208 E218 E228" xr:uid="{44282BEE-2DF4-4A4A-8E65-27707B13FAF3}">
      <formula1>Waste_levy_names</formula1>
    </dataValidation>
    <dataValidation type="list" allowBlank="1" showInputMessage="1" showErrorMessage="1" sqref="E149 E165 E226" xr:uid="{01EE02B9-7B4E-45F6-94F3-16CFC4158D2B}">
      <formula1>Load_haul_dump_soil_ameliorants_from_off_site_names_UR</formula1>
    </dataValidation>
    <dataValidation type="list" allowBlank="1" showInputMessage="1" showErrorMessage="1" sqref="C14" xr:uid="{76246443-EFDB-4C37-BF0B-763832C4C4E8}">
      <formula1>Electrolyser_models</formula1>
    </dataValidation>
    <dataValidation type="custom" allowBlank="1" showInputMessage="1" showErrorMessage="1" error="Please enter a numeric value." sqref="C11:C13 C26:C28 C34:C36 C234:C236" xr:uid="{F0834758-DE95-438B-9258-B53B44BDACFD}">
      <formula1>ISNUMBER(C11:C13)</formula1>
    </dataValidation>
    <dataValidation type="custom" allowBlank="1" showInputMessage="1" showErrorMessage="1" error="Please enter a numeric value." sqref="C15:C16 C43:C44 C108:C109" xr:uid="{DBEEFD92-6CEB-4D67-9749-01ECEA6075B7}">
      <formula1>ISNUMBER(C15:C16)</formula1>
    </dataValidation>
    <dataValidation type="custom" allowBlank="1" showInputMessage="1" showErrorMessage="1" error="Please enter a numeric value." sqref="C20 C51 C204 C214 C224 H20 H26:H28 H34:H37 H44:H45 H51 H53 H59:H65 H71:H88 H94:H102 H108:H109 H115:H119 H125:H129 H147:H149 H164:H166 H179 H195:H197 H206:H208 H216:H218 H226:H228 H234:H236 H242:H246 H252:H257 H263:H265 H273:H281" xr:uid="{7EDE0F83-7B30-42DE-8D95-20B47D45C3C7}">
      <formula1>ISNUMBER(C20)</formula1>
    </dataValidation>
    <dataValidation type="custom" allowBlank="1" showInputMessage="1" showErrorMessage="1" error="Please enter a numeric value." sqref="C59:C65 C155:C161 C172:C178" xr:uid="{FA1DCF8F-98EA-43EF-A41B-830091E6C3FD}">
      <formula1>ISNUMBER(C59:C65)</formula1>
    </dataValidation>
    <dataValidation type="custom" allowBlank="1" showInputMessage="1" showErrorMessage="1" error="Please enter a numeric value." sqref="C71:C88" xr:uid="{D2D1C4AC-E668-4ACD-8837-A65A5FC0D34E}">
      <formula1>ISNUMBER(C71:C88)</formula1>
    </dataValidation>
    <dataValidation type="custom" allowBlank="1" showInputMessage="1" showErrorMessage="1" error="Please enter a numeric value." sqref="C94:C102 C186" xr:uid="{34D40BE5-E810-4774-BC11-0FE6571DE2F7}">
      <formula1>ISNUMBER(C94:C102)</formula1>
    </dataValidation>
    <dataValidation type="custom" allowBlank="1" showInputMessage="1" showErrorMessage="1" error="Please enter a numeric value." sqref="C115:C119 C125:C129 G277:G281 C242:C246" xr:uid="{7B56BAF9-B0D5-4964-AA01-349F31A8DDC2}">
      <formula1>ISNUMBER(C115:C119)</formula1>
    </dataValidation>
    <dataValidation type="custom" allowBlank="1" showInputMessage="1" showErrorMessage="1" error="Please enter a numeric value." sqref="C135:C146" xr:uid="{9C9DE503-0606-4072-B5F5-6708FF6D6F2B}">
      <formula1>ISNUMBER(C135:C146)</formula1>
    </dataValidation>
    <dataValidation type="custom" allowBlank="1" showInputMessage="1" showErrorMessage="1" error="Please enter a numeric value." sqref="C252:C257" xr:uid="{F72ECD72-810A-498E-8595-A4C244427A64}">
      <formula1>ISNUMBER(C252:C257)</formula1>
    </dataValidation>
    <dataValidation type="decimal" allowBlank="1" showInputMessage="1" showErrorMessage="1" error="Please enter a valid percentage." sqref="D263:D265" xr:uid="{99645164-CC33-4999-87E2-4B0A7F3A1327}">
      <formula1>0</formula1>
      <formula2>100</formula2>
    </dataValidation>
    <dataValidation type="custom" allowBlank="1" showInputMessage="1" showErrorMessage="1" error="Please enter a numeric value." sqref="C185" xr:uid="{655CBDF8-4D82-4BA4-B84D-334BFC0F9F20}">
      <formula1>ISNUMBER(C185:C192)</formula1>
    </dataValidation>
    <dataValidation type="custom" allowBlank="1" showInputMessage="1" showErrorMessage="1" error="Please enter a numeric value. " sqref="C193" xr:uid="{6AE7F521-0CD1-4E33-BCB8-7AA42716F3BA}">
      <formula1>ISNUMBER(C193:C207)</formula1>
    </dataValidation>
    <dataValidation type="custom" allowBlank="1" showInputMessage="1" showErrorMessage="1" error="Please enter a numeric value. " sqref="C191" xr:uid="{49F1E47E-604A-4DD6-A560-328CFC514F11}">
      <formula1>ISNUMBER(C191:C202)</formula1>
    </dataValidation>
    <dataValidation type="custom" allowBlank="1" showInputMessage="1" showErrorMessage="1" error="Please enter a numeric value." sqref="C187:C190" xr:uid="{8AE9E4E0-89D6-45D3-A1DA-65EA0C17A8FE}">
      <formula1>ISNUMBER(C187:C196)</formula1>
    </dataValidation>
    <dataValidation type="custom" allowBlank="1" showInputMessage="1" showErrorMessage="1" error="Please enter a numeric value." sqref="C192" xr:uid="{A746660C-78BF-4157-90D2-D1913D42E2FA}">
      <formula1>ISNUMBER(C192:C202)</formula1>
    </dataValidation>
    <dataValidation type="list" allowBlank="1" showInputMessage="1" showErrorMessage="1" sqref="E234:E236" xr:uid="{71718973-D19B-4C64-B00D-369AFC6F6C0F}">
      <formula1>#REF!</formula1>
    </dataValidation>
  </dataValidations>
  <hyperlinks>
    <hyperlink ref="B4" location="Information" display="Return to Information" xr:uid="{4185D871-761A-4419-A309-A04E25059E44}"/>
    <hyperlink ref="B6" location="Summary_green_H2" display="Summary Page" xr:uid="{32A797AE-0EF2-442A-80FC-BD2338E1E83B}"/>
  </hyperlinks>
  <pageMargins left="0.7" right="0.7" top="0.75" bottom="0.75" header="0.3" footer="0.3"/>
  <extLst>
    <ext xmlns:x14="http://schemas.microsoft.com/office/spreadsheetml/2009/9/main" uri="{CCE6A557-97BC-4b89-ADB6-D9C93CAAB3DF}">
      <x14:dataValidations xmlns:xm="http://schemas.microsoft.com/office/excel/2006/main" count="7">
        <x14:dataValidation type="list" allowBlank="1" showInputMessage="1" showErrorMessage="1" xr:uid="{A3F7FF99-965F-4D78-9839-A710A81B228B}">
          <x14:formula1>
            <xm:f>'Cost Schedule'!$B$30:$B$34</xm:f>
          </x14:formula1>
          <xm:sqref>E115:E119</xm:sqref>
        </x14:dataValidation>
        <x14:dataValidation type="list" allowBlank="1" showInputMessage="1" showErrorMessage="1" xr:uid="{196B2179-CB35-4EA6-96DE-32B46E10A47F}">
          <x14:formula1>
            <xm:f>'Cost Schedule'!$B$6:$B$8</xm:f>
          </x14:formula1>
          <xm:sqref>E108:E109</xm:sqref>
        </x14:dataValidation>
        <x14:dataValidation type="list" allowBlank="1" showInputMessage="1" showErrorMessage="1" xr:uid="{52B7242D-3A1E-4B36-A943-CAC29EE8820F}">
          <x14:formula1>
            <xm:f>'Cost Schedule'!$B$212:$B$214</xm:f>
          </x14:formula1>
          <xm:sqref>E94:E102</xm:sqref>
        </x14:dataValidation>
        <x14:dataValidation type="list" allowBlank="1" showInputMessage="1" showErrorMessage="1" xr:uid="{1BB46925-A6D5-4A81-B473-33CD4BEED41E}">
          <x14:formula1>
            <xm:f>Lists!$B$33:$B$35</xm:f>
          </x14:formula1>
          <xm:sqref>F71:F88</xm:sqref>
        </x14:dataValidation>
        <x14:dataValidation type="list" allowBlank="1" showInputMessage="1" showErrorMessage="1" xr:uid="{DBF3B4E2-FA44-4A17-A5FD-ADCB7E9B708C}">
          <x14:formula1>
            <xm:f>Lists!$B$164:$B$166</xm:f>
          </x14:formula1>
          <xm:sqref>F94:F102 F108:F109</xm:sqref>
        </x14:dataValidation>
        <x14:dataValidation type="list" allowBlank="1" showInputMessage="1" showErrorMessage="1" xr:uid="{FBE9C969-0D36-4D23-9F7A-DAF51AD0B394}">
          <x14:formula1>
            <xm:f>'Cost Schedule'!$B$43:$B$45</xm:f>
          </x14:formula1>
          <xm:sqref>E196</xm:sqref>
        </x14:dataValidation>
        <x14:dataValidation type="list" allowBlank="1" showInputMessage="1" showErrorMessage="1" xr:uid="{7792BBAB-911F-4562-A737-2C6830944E9A}">
          <x14:formula1>
            <xm:f>'Cost Schedule'!$B$236:$B$246</xm:f>
          </x14:formula1>
          <xm:sqref>E197 E195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1E82C-5916-4FF9-80AE-26640FBF12A1}">
  <sheetPr codeName="Sheet10">
    <tabColor theme="4" tint="0.59999389629810485"/>
  </sheetPr>
  <dimension ref="A2:F449"/>
  <sheetViews>
    <sheetView showGridLines="0" workbookViewId="0">
      <pane ySplit="4" topLeftCell="A5" activePane="bottomLeft" state="frozen"/>
      <selection pane="bottomLeft"/>
    </sheetView>
  </sheetViews>
  <sheetFormatPr defaultColWidth="8.7265625" defaultRowHeight="12.5"/>
  <cols>
    <col min="1" max="1" width="8.7265625" style="238"/>
    <col min="2" max="2" width="92.81640625" style="238" customWidth="1"/>
    <col min="3" max="3" width="12.54296875" style="238" bestFit="1" customWidth="1"/>
    <col min="4" max="4" width="12" style="238" customWidth="1"/>
    <col min="5" max="5" width="115.1796875" style="238" customWidth="1"/>
    <col min="6" max="6" width="10.1796875" style="238" customWidth="1"/>
    <col min="7" max="16384" width="8.7265625" style="238"/>
  </cols>
  <sheetData>
    <row r="2" spans="1:5" ht="13">
      <c r="B2" s="237" t="str">
        <f>Project_Name</f>
        <v xml:space="preserve">South Australia Hydrogen and Renewable Energy Restoration Cost Estimation Tool </v>
      </c>
    </row>
    <row r="3" spans="1:5">
      <c r="B3" s="4" t="s">
        <v>31</v>
      </c>
    </row>
    <row r="4" spans="1:5" ht="13">
      <c r="B4" s="347" t="s">
        <v>464</v>
      </c>
      <c r="C4" s="236"/>
      <c r="D4" s="236"/>
      <c r="E4" s="347" t="s">
        <v>465</v>
      </c>
    </row>
    <row r="5" spans="1:5" ht="13">
      <c r="B5" s="348" t="s">
        <v>187</v>
      </c>
      <c r="C5" s="349"/>
      <c r="D5" s="349"/>
      <c r="E5" s="350"/>
    </row>
    <row r="6" spans="1:5" ht="13">
      <c r="A6" s="238" t="s">
        <v>157</v>
      </c>
      <c r="B6" s="14" t="s">
        <v>191</v>
      </c>
      <c r="C6" s="35">
        <v>1899.1723770871351</v>
      </c>
      <c r="D6" s="238" t="s">
        <v>1002</v>
      </c>
      <c r="E6" s="14"/>
    </row>
    <row r="7" spans="1:5" ht="13">
      <c r="A7" s="238" t="s">
        <v>157</v>
      </c>
      <c r="B7" s="14" t="s">
        <v>189</v>
      </c>
      <c r="C7" s="35">
        <v>39762.562527538706</v>
      </c>
      <c r="D7" s="238" t="s">
        <v>1002</v>
      </c>
      <c r="E7" s="14"/>
    </row>
    <row r="8" spans="1:5" ht="13">
      <c r="A8" s="238" t="s">
        <v>157</v>
      </c>
      <c r="B8" s="14" t="s">
        <v>1032</v>
      </c>
      <c r="C8" s="35">
        <v>66499.221192861674</v>
      </c>
      <c r="D8" s="238" t="s">
        <v>1002</v>
      </c>
      <c r="E8" s="14"/>
    </row>
    <row r="9" spans="1:5" ht="13">
      <c r="A9" s="238" t="s">
        <v>146</v>
      </c>
      <c r="B9" s="14" t="s">
        <v>191</v>
      </c>
      <c r="C9" s="35">
        <v>10786.537743031049</v>
      </c>
      <c r="D9" s="238" t="s">
        <v>1002</v>
      </c>
      <c r="E9" s="14"/>
    </row>
    <row r="10" spans="1:5" ht="13">
      <c r="A10" s="238" t="s">
        <v>146</v>
      </c>
      <c r="B10" s="14" t="s">
        <v>189</v>
      </c>
      <c r="C10" s="35">
        <v>48649.927893482622</v>
      </c>
      <c r="D10" s="238" t="s">
        <v>1002</v>
      </c>
      <c r="E10" s="14"/>
    </row>
    <row r="11" spans="1:5" ht="13">
      <c r="A11" s="238" t="s">
        <v>146</v>
      </c>
      <c r="B11" s="14" t="s">
        <v>1032</v>
      </c>
      <c r="C11" s="35">
        <v>75386.586558805589</v>
      </c>
      <c r="D11" s="238" t="s">
        <v>1002</v>
      </c>
      <c r="E11" s="14"/>
    </row>
    <row r="12" spans="1:5" ht="13">
      <c r="A12" s="238" t="s">
        <v>148</v>
      </c>
      <c r="B12" s="14" t="s">
        <v>191</v>
      </c>
      <c r="C12" s="35">
        <v>14356.537743031051</v>
      </c>
      <c r="D12" s="238" t="s">
        <v>1002</v>
      </c>
      <c r="E12" s="14"/>
    </row>
    <row r="13" spans="1:5" ht="13">
      <c r="A13" s="238" t="s">
        <v>148</v>
      </c>
      <c r="B13" s="14" t="s">
        <v>189</v>
      </c>
      <c r="C13" s="35">
        <v>52219.927893482622</v>
      </c>
      <c r="D13" s="238" t="s">
        <v>1002</v>
      </c>
      <c r="E13" s="14"/>
    </row>
    <row r="14" spans="1:5" ht="13">
      <c r="A14" s="238" t="s">
        <v>148</v>
      </c>
      <c r="B14" s="14" t="s">
        <v>1032</v>
      </c>
      <c r="C14" s="35">
        <v>78956.586558805589</v>
      </c>
      <c r="D14" s="238" t="s">
        <v>1002</v>
      </c>
      <c r="E14" s="14"/>
    </row>
    <row r="16" spans="1:5" ht="13">
      <c r="B16" s="348" t="s">
        <v>466</v>
      </c>
      <c r="C16" s="349"/>
      <c r="D16" s="349"/>
      <c r="E16" s="349"/>
    </row>
    <row r="17" spans="2:5" ht="13">
      <c r="B17" s="14" t="s">
        <v>412</v>
      </c>
      <c r="C17" s="113">
        <v>1494.3985650219167</v>
      </c>
      <c r="D17" s="238" t="s">
        <v>62</v>
      </c>
      <c r="E17" s="14"/>
    </row>
    <row r="18" spans="2:5" ht="13">
      <c r="B18" s="14" t="s">
        <v>244</v>
      </c>
      <c r="C18" s="113">
        <v>1494.3985650219167</v>
      </c>
      <c r="D18" s="238" t="s">
        <v>62</v>
      </c>
      <c r="E18" s="14"/>
    </row>
    <row r="20" spans="2:5" ht="13">
      <c r="B20" s="348" t="s">
        <v>15</v>
      </c>
      <c r="C20" s="349"/>
      <c r="D20" s="349"/>
      <c r="E20" s="349"/>
    </row>
    <row r="21" spans="2:5" ht="13">
      <c r="B21" s="114" t="s">
        <v>966</v>
      </c>
      <c r="C21" s="113">
        <v>257.65393119534104</v>
      </c>
      <c r="D21" s="238" t="s">
        <v>959</v>
      </c>
      <c r="E21" s="14"/>
    </row>
    <row r="22" spans="2:5" ht="13">
      <c r="B22" s="114" t="s">
        <v>444</v>
      </c>
      <c r="C22" s="113">
        <v>4385.1794700358641</v>
      </c>
      <c r="D22" s="238" t="s">
        <v>965</v>
      </c>
      <c r="E22" s="14"/>
    </row>
    <row r="23" spans="2:5" ht="13">
      <c r="B23" s="114" t="s">
        <v>1099</v>
      </c>
      <c r="C23" s="35">
        <v>87.48</v>
      </c>
      <c r="D23" s="238" t="s">
        <v>1010</v>
      </c>
      <c r="E23" s="14"/>
    </row>
    <row r="24" spans="2:5" ht="13">
      <c r="B24" s="114" t="s">
        <v>449</v>
      </c>
      <c r="C24" s="113">
        <v>433.9267589388698</v>
      </c>
      <c r="D24" s="238" t="s">
        <v>965</v>
      </c>
      <c r="E24" s="14"/>
    </row>
    <row r="25" spans="2:5" ht="13">
      <c r="B25" s="114" t="s">
        <v>450</v>
      </c>
      <c r="C25" s="113">
        <v>2359.0193357933576</v>
      </c>
      <c r="D25" s="238" t="s">
        <v>965</v>
      </c>
      <c r="E25" s="14"/>
    </row>
    <row r="26" spans="2:5" ht="13">
      <c r="B26" s="114" t="s">
        <v>1033</v>
      </c>
      <c r="C26" s="35">
        <v>3571.3568272918019</v>
      </c>
      <c r="D26" s="238" t="s">
        <v>467</v>
      </c>
      <c r="E26" s="14"/>
    </row>
    <row r="27" spans="2:5" ht="13">
      <c r="B27" s="114" t="s">
        <v>1036</v>
      </c>
      <c r="C27" s="35">
        <v>4303.3068272918026</v>
      </c>
      <c r="D27" s="238" t="s">
        <v>467</v>
      </c>
      <c r="E27" s="14"/>
    </row>
    <row r="29" spans="2:5" ht="13">
      <c r="B29" s="348" t="s">
        <v>468</v>
      </c>
      <c r="C29" s="349"/>
      <c r="D29" s="349"/>
      <c r="E29" s="349"/>
    </row>
    <row r="30" spans="2:5" ht="13">
      <c r="B30" s="14" t="s">
        <v>195</v>
      </c>
      <c r="C30" s="113">
        <v>208.11062861557767</v>
      </c>
      <c r="D30" s="238" t="s">
        <v>203</v>
      </c>
      <c r="E30" s="14"/>
    </row>
    <row r="31" spans="2:5" ht="13">
      <c r="B31" s="14" t="s">
        <v>197</v>
      </c>
      <c r="C31" s="113">
        <v>94.038485216966436</v>
      </c>
      <c r="D31" s="238" t="s">
        <v>203</v>
      </c>
      <c r="E31" s="14"/>
    </row>
    <row r="32" spans="2:5" ht="13">
      <c r="B32" s="14" t="s">
        <v>199</v>
      </c>
      <c r="C32" s="113">
        <v>87.229587913547633</v>
      </c>
      <c r="D32" s="238" t="s">
        <v>203</v>
      </c>
      <c r="E32" s="14"/>
    </row>
    <row r="33" spans="2:5" ht="13">
      <c r="B33" s="14" t="s">
        <v>201</v>
      </c>
      <c r="C33" s="113">
        <v>157.40763343503909</v>
      </c>
      <c r="D33" s="238" t="s">
        <v>203</v>
      </c>
      <c r="E33" s="14"/>
    </row>
    <row r="34" spans="2:5" ht="13">
      <c r="B34" s="14" t="s">
        <v>199</v>
      </c>
      <c r="C34" s="113">
        <v>83.98500068982915</v>
      </c>
      <c r="D34" s="238" t="s">
        <v>1008</v>
      </c>
      <c r="E34" s="14"/>
    </row>
    <row r="35" spans="2:5" s="214" customFormat="1"/>
    <row r="36" spans="2:5" ht="13">
      <c r="B36" s="348" t="s">
        <v>469</v>
      </c>
      <c r="C36" s="349"/>
      <c r="D36" s="349"/>
      <c r="E36" s="349"/>
    </row>
    <row r="37" spans="2:5" ht="13">
      <c r="B37" s="14" t="s">
        <v>208</v>
      </c>
      <c r="C37" s="113">
        <v>2116.832977994005</v>
      </c>
      <c r="D37" s="238" t="s">
        <v>1007</v>
      </c>
      <c r="E37" s="14"/>
    </row>
    <row r="38" spans="2:5" ht="13">
      <c r="B38" s="14" t="s">
        <v>210</v>
      </c>
      <c r="C38" s="113">
        <v>1535.6089147798502</v>
      </c>
      <c r="D38" s="238" t="s">
        <v>1007</v>
      </c>
      <c r="E38" s="14"/>
    </row>
    <row r="39" spans="2:5" ht="13">
      <c r="B39" s="14" t="s">
        <v>212</v>
      </c>
      <c r="C39" s="113">
        <v>8718.1405761022397</v>
      </c>
      <c r="D39" s="238" t="s">
        <v>1007</v>
      </c>
      <c r="E39" s="14"/>
    </row>
    <row r="40" spans="2:5" ht="13">
      <c r="B40" s="14" t="s">
        <v>214</v>
      </c>
      <c r="C40" s="113">
        <v>4996.7383848157133</v>
      </c>
      <c r="D40" s="238" t="s">
        <v>1007</v>
      </c>
      <c r="E40" s="14"/>
    </row>
    <row r="42" spans="2:5" ht="13">
      <c r="B42" s="348" t="s">
        <v>470</v>
      </c>
      <c r="C42" s="349"/>
      <c r="D42" s="349"/>
      <c r="E42" s="349"/>
    </row>
    <row r="43" spans="2:5" ht="13">
      <c r="B43" s="115" t="s">
        <v>276</v>
      </c>
      <c r="C43" s="113">
        <v>7.3070947003586362</v>
      </c>
      <c r="D43" s="238" t="s">
        <v>573</v>
      </c>
      <c r="E43" s="14"/>
    </row>
    <row r="44" spans="2:5" ht="13">
      <c r="B44" s="115" t="s">
        <v>459</v>
      </c>
      <c r="C44" s="113">
        <v>10.960642050537954</v>
      </c>
      <c r="D44" s="238" t="s">
        <v>573</v>
      </c>
      <c r="E44" s="14"/>
    </row>
    <row r="45" spans="2:5" ht="13">
      <c r="B45" s="115" t="s">
        <v>1037</v>
      </c>
      <c r="C45" s="113">
        <v>14.614189400717272</v>
      </c>
      <c r="D45" s="238" t="s">
        <v>573</v>
      </c>
      <c r="E45" s="14"/>
    </row>
    <row r="47" spans="2:5" ht="13">
      <c r="B47" s="348" t="s">
        <v>1195</v>
      </c>
      <c r="C47" s="349"/>
      <c r="D47" s="349"/>
      <c r="E47" s="349"/>
    </row>
    <row r="48" spans="2:5" ht="13">
      <c r="B48" s="115" t="s">
        <v>1192</v>
      </c>
      <c r="C48" s="35">
        <v>100000</v>
      </c>
      <c r="D48" s="238" t="s">
        <v>1196</v>
      </c>
      <c r="E48" s="14"/>
    </row>
    <row r="49" spans="2:5" ht="13">
      <c r="B49" s="115" t="s">
        <v>1193</v>
      </c>
      <c r="C49" s="35">
        <v>250000</v>
      </c>
      <c r="D49" s="238" t="s">
        <v>1196</v>
      </c>
      <c r="E49" s="14"/>
    </row>
    <row r="50" spans="2:5" ht="13">
      <c r="B50" s="115" t="s">
        <v>1194</v>
      </c>
      <c r="C50" s="35">
        <v>500000</v>
      </c>
      <c r="D50" s="238" t="s">
        <v>1196</v>
      </c>
      <c r="E50" s="14"/>
    </row>
    <row r="52" spans="2:5" ht="13">
      <c r="B52" s="348" t="s">
        <v>1245</v>
      </c>
      <c r="C52" s="351"/>
      <c r="D52" s="349"/>
      <c r="E52" s="350"/>
    </row>
    <row r="53" spans="2:5" ht="13">
      <c r="B53" s="14" t="s">
        <v>1177</v>
      </c>
      <c r="C53" s="35">
        <v>35874.617880143458</v>
      </c>
      <c r="D53" s="238" t="s">
        <v>1030</v>
      </c>
      <c r="E53" s="14"/>
    </row>
    <row r="54" spans="2:5" ht="13">
      <c r="B54" s="14" t="s">
        <v>1178</v>
      </c>
      <c r="C54" s="35">
        <v>25874.617880143454</v>
      </c>
      <c r="D54" s="238" t="s">
        <v>1030</v>
      </c>
      <c r="E54" s="14"/>
    </row>
    <row r="55" spans="2:5" ht="13">
      <c r="B55" s="14" t="s">
        <v>1180</v>
      </c>
      <c r="C55" s="35">
        <v>25874.617880143454</v>
      </c>
      <c r="D55" s="238" t="s">
        <v>1030</v>
      </c>
      <c r="E55" s="14"/>
    </row>
    <row r="56" spans="2:5" ht="13">
      <c r="B56" s="14" t="s">
        <v>1181</v>
      </c>
      <c r="C56" s="35">
        <v>20874.617880143454</v>
      </c>
      <c r="D56" s="238" t="s">
        <v>1030</v>
      </c>
      <c r="E56" s="14"/>
    </row>
    <row r="57" spans="2:5" ht="13">
      <c r="B57" s="14" t="s">
        <v>1179</v>
      </c>
      <c r="C57" s="35">
        <v>1090.7377350179318</v>
      </c>
      <c r="D57" s="238" t="s">
        <v>1030</v>
      </c>
      <c r="E57" s="14"/>
    </row>
    <row r="58" spans="2:5" ht="13">
      <c r="B58" s="14" t="s">
        <v>1243</v>
      </c>
      <c r="C58" s="35">
        <v>2032.8097350179319</v>
      </c>
      <c r="D58" s="238" t="s">
        <v>1030</v>
      </c>
      <c r="E58" s="14"/>
    </row>
    <row r="59" spans="2:5" ht="13">
      <c r="B59" s="14" t="s">
        <v>982</v>
      </c>
      <c r="C59" s="35">
        <v>416.27249999999998</v>
      </c>
      <c r="D59" s="238" t="s">
        <v>51</v>
      </c>
      <c r="E59" s="14"/>
    </row>
    <row r="61" spans="2:5" ht="13">
      <c r="B61" s="348" t="s">
        <v>471</v>
      </c>
      <c r="C61" s="349"/>
      <c r="D61" s="349"/>
      <c r="E61" s="349"/>
    </row>
    <row r="62" spans="2:5" ht="13">
      <c r="B62" s="116" t="s">
        <v>968</v>
      </c>
      <c r="C62" s="35">
        <v>2688.448675089659</v>
      </c>
      <c r="D62" s="352" t="s">
        <v>976</v>
      </c>
      <c r="E62" s="14"/>
    </row>
    <row r="63" spans="2:5" ht="13">
      <c r="B63" s="116" t="s">
        <v>969</v>
      </c>
      <c r="C63" s="35">
        <v>3451.6632667463637</v>
      </c>
      <c r="D63" s="352" t="s">
        <v>976</v>
      </c>
      <c r="E63" s="14"/>
    </row>
    <row r="64" spans="2:5" ht="13">
      <c r="B64" s="116" t="s">
        <v>970</v>
      </c>
      <c r="C64" s="35">
        <v>16082.484700358636</v>
      </c>
      <c r="D64" s="352" t="s">
        <v>976</v>
      </c>
      <c r="E64" s="14"/>
    </row>
    <row r="65" spans="2:5" ht="13">
      <c r="B65" s="116" t="s">
        <v>971</v>
      </c>
      <c r="C65" s="35">
        <v>3573.8854889685858</v>
      </c>
      <c r="D65" s="352" t="s">
        <v>976</v>
      </c>
      <c r="E65" s="14"/>
    </row>
    <row r="66" spans="2:5" ht="13">
      <c r="B66" s="116" t="s">
        <v>972</v>
      </c>
      <c r="C66" s="35">
        <v>16082.484700358636</v>
      </c>
      <c r="D66" s="352" t="s">
        <v>976</v>
      </c>
      <c r="E66" s="14"/>
    </row>
    <row r="67" spans="2:5" ht="13">
      <c r="B67" s="116" t="s">
        <v>973</v>
      </c>
      <c r="C67" s="35">
        <v>134.34486750896593</v>
      </c>
      <c r="D67" s="352" t="s">
        <v>976</v>
      </c>
      <c r="E67" s="14"/>
    </row>
    <row r="68" spans="2:5" ht="13">
      <c r="B68" s="116" t="s">
        <v>974</v>
      </c>
      <c r="C68" s="35">
        <v>7197.7936750896588</v>
      </c>
      <c r="D68" s="352" t="s">
        <v>976</v>
      </c>
      <c r="E68" s="14"/>
    </row>
    <row r="69" spans="2:5" ht="13">
      <c r="B69" s="116" t="s">
        <v>975</v>
      </c>
      <c r="C69" s="35">
        <v>14395.587350179318</v>
      </c>
      <c r="D69" s="352" t="s">
        <v>976</v>
      </c>
      <c r="E69" s="14"/>
    </row>
    <row r="71" spans="2:5" ht="13">
      <c r="B71" s="348" t="s">
        <v>1188</v>
      </c>
      <c r="C71" s="349"/>
      <c r="D71" s="349"/>
      <c r="E71" s="349"/>
    </row>
    <row r="72" spans="2:5" ht="13">
      <c r="B72" s="115" t="s">
        <v>981</v>
      </c>
      <c r="C72" s="35">
        <v>18.8</v>
      </c>
      <c r="D72" s="238" t="s">
        <v>958</v>
      </c>
      <c r="E72" s="14"/>
    </row>
    <row r="73" spans="2:5" ht="13">
      <c r="B73" s="115" t="s">
        <v>1198</v>
      </c>
      <c r="C73" s="35">
        <v>7205.1178801434544</v>
      </c>
      <c r="D73" s="238" t="s">
        <v>1200</v>
      </c>
      <c r="E73" s="14"/>
    </row>
    <row r="74" spans="2:5" ht="13">
      <c r="B74" s="115" t="s">
        <v>1198</v>
      </c>
      <c r="C74" s="35">
        <v>12871.676820215182</v>
      </c>
      <c r="D74" s="238" t="s">
        <v>1201</v>
      </c>
      <c r="E74" s="14"/>
    </row>
    <row r="75" spans="2:5" ht="13">
      <c r="B75" s="115" t="s">
        <v>1217</v>
      </c>
      <c r="C75" s="35">
        <v>10797.117880143454</v>
      </c>
      <c r="D75" s="238" t="s">
        <v>1218</v>
      </c>
      <c r="E75" s="14"/>
    </row>
    <row r="76" spans="2:5" ht="13">
      <c r="B76" s="115" t="s">
        <v>1222</v>
      </c>
      <c r="C76" s="35">
        <v>8797.5978801434539</v>
      </c>
      <c r="D76" s="238" t="s">
        <v>1223</v>
      </c>
      <c r="E76" s="14"/>
    </row>
    <row r="77" spans="2:5" ht="13">
      <c r="B77" s="115" t="s">
        <v>1355</v>
      </c>
      <c r="C77" s="35">
        <v>26794.29553213578</v>
      </c>
      <c r="D77" s="238" t="s">
        <v>1307</v>
      </c>
      <c r="E77" s="14"/>
    </row>
    <row r="78" spans="2:5" ht="13">
      <c r="B78" s="115" t="s">
        <v>1356</v>
      </c>
      <c r="C78" s="35">
        <v>27174.802235475989</v>
      </c>
      <c r="D78" s="238" t="s">
        <v>1307</v>
      </c>
      <c r="E78" s="14"/>
    </row>
    <row r="79" spans="2:5" ht="13">
      <c r="B79" s="115" t="s">
        <v>1357</v>
      </c>
      <c r="C79" s="35">
        <v>31359.102582228137</v>
      </c>
      <c r="D79" s="238" t="s">
        <v>1307</v>
      </c>
      <c r="E79" s="14"/>
    </row>
    <row r="80" spans="2:5" ht="13">
      <c r="B80" s="115" t="s">
        <v>1358</v>
      </c>
      <c r="C80" s="35">
        <v>38073.151749195466</v>
      </c>
      <c r="D80" s="238" t="s">
        <v>1307</v>
      </c>
      <c r="E80" s="14"/>
    </row>
    <row r="81" spans="1:6" ht="13">
      <c r="B81" s="115" t="s">
        <v>1359</v>
      </c>
      <c r="C81" s="35">
        <v>50345.425389625831</v>
      </c>
      <c r="D81" s="238" t="s">
        <v>1307</v>
      </c>
      <c r="E81" s="14"/>
    </row>
    <row r="82" spans="1:6" ht="13">
      <c r="B82" s="115" t="s">
        <v>1360</v>
      </c>
      <c r="C82" s="35">
        <v>114276.46252499503</v>
      </c>
      <c r="D82" s="238" t="s">
        <v>1307</v>
      </c>
      <c r="E82" s="14"/>
    </row>
    <row r="83" spans="1:6" ht="13">
      <c r="B83" s="115" t="s">
        <v>1361</v>
      </c>
      <c r="C83" s="35">
        <v>223698.04974862267</v>
      </c>
      <c r="D83" s="238" t="s">
        <v>1307</v>
      </c>
      <c r="E83" s="14"/>
    </row>
    <row r="85" spans="1:6" ht="13">
      <c r="B85" s="348" t="s">
        <v>1079</v>
      </c>
      <c r="C85" s="349"/>
      <c r="D85" s="349"/>
      <c r="E85" s="350"/>
    </row>
    <row r="86" spans="1:6" ht="13">
      <c r="A86" s="238">
        <v>5</v>
      </c>
      <c r="B86" s="14" t="s">
        <v>1362</v>
      </c>
      <c r="C86" s="113">
        <v>0.14641557980658332</v>
      </c>
      <c r="D86" s="238" t="s">
        <v>989</v>
      </c>
      <c r="E86" s="14"/>
      <c r="F86" s="238">
        <v>2.5</v>
      </c>
    </row>
    <row r="87" spans="1:6" ht="13">
      <c r="A87" s="238">
        <v>10</v>
      </c>
      <c r="B87" s="14" t="s">
        <v>1363</v>
      </c>
      <c r="C87" s="113">
        <v>8.0937804986247905E-2</v>
      </c>
      <c r="D87" s="238" t="s">
        <v>989</v>
      </c>
      <c r="E87" s="14"/>
      <c r="F87" s="238">
        <v>7.5</v>
      </c>
    </row>
    <row r="88" spans="1:6" ht="13">
      <c r="A88" s="238">
        <v>15</v>
      </c>
      <c r="B88" s="14" t="s">
        <v>1364</v>
      </c>
      <c r="C88" s="113">
        <v>5.9111880046136114E-2</v>
      </c>
      <c r="D88" s="238" t="s">
        <v>989</v>
      </c>
      <c r="E88" s="14"/>
      <c r="F88" s="238">
        <v>12.5</v>
      </c>
    </row>
    <row r="89" spans="1:6" ht="13">
      <c r="A89" s="238">
        <v>20</v>
      </c>
      <c r="B89" s="14" t="s">
        <v>1365</v>
      </c>
      <c r="C89" s="113">
        <v>4.8198917576080212E-2</v>
      </c>
      <c r="D89" s="238" t="s">
        <v>989</v>
      </c>
      <c r="E89" s="14"/>
      <c r="F89" s="238">
        <v>17.5</v>
      </c>
    </row>
    <row r="90" spans="1:6" ht="13">
      <c r="A90" s="238">
        <v>25</v>
      </c>
      <c r="B90" s="14" t="s">
        <v>1366</v>
      </c>
      <c r="C90" s="113">
        <v>4.1651140094046669E-2</v>
      </c>
      <c r="D90" s="238" t="s">
        <v>989</v>
      </c>
      <c r="E90" s="14"/>
      <c r="F90" s="238">
        <v>22.5</v>
      </c>
    </row>
    <row r="91" spans="1:6" ht="13">
      <c r="A91" s="238">
        <v>30</v>
      </c>
      <c r="B91" s="14" t="s">
        <v>1367</v>
      </c>
      <c r="C91" s="113">
        <v>3.728595510602431E-2</v>
      </c>
      <c r="D91" s="238" t="s">
        <v>989</v>
      </c>
      <c r="E91" s="14"/>
      <c r="F91" s="238">
        <v>27.5</v>
      </c>
    </row>
    <row r="92" spans="1:6" ht="13">
      <c r="A92" s="238">
        <v>35</v>
      </c>
      <c r="B92" s="14" t="s">
        <v>1368</v>
      </c>
      <c r="C92" s="113">
        <v>3.4167965828865492E-2</v>
      </c>
      <c r="D92" s="238" t="s">
        <v>989</v>
      </c>
      <c r="E92" s="14"/>
      <c r="F92" s="238">
        <v>32.5</v>
      </c>
    </row>
    <row r="93" spans="1:6" ht="13">
      <c r="A93" s="238">
        <v>40</v>
      </c>
      <c r="B93" s="14" t="s">
        <v>258</v>
      </c>
      <c r="C93" s="113">
        <v>3.1829473870996369E-2</v>
      </c>
      <c r="D93" s="238" t="s">
        <v>989</v>
      </c>
      <c r="E93" s="14"/>
      <c r="F93" s="238">
        <v>37.5</v>
      </c>
    </row>
    <row r="94" spans="1:6" ht="13">
      <c r="A94" s="238">
        <v>45</v>
      </c>
      <c r="B94" s="14" t="s">
        <v>1369</v>
      </c>
      <c r="C94" s="113">
        <v>3.0010646792653715E-2</v>
      </c>
      <c r="D94" s="238" t="s">
        <v>989</v>
      </c>
      <c r="E94" s="14"/>
      <c r="F94" s="238">
        <v>42.5</v>
      </c>
    </row>
    <row r="95" spans="1:6" ht="13">
      <c r="A95" s="238">
        <v>50</v>
      </c>
      <c r="B95" s="14" t="s">
        <v>1370</v>
      </c>
      <c r="C95" s="113">
        <v>2.8555585129979591E-2</v>
      </c>
      <c r="D95" s="238" t="s">
        <v>989</v>
      </c>
      <c r="E95" s="14"/>
      <c r="F95" s="238">
        <v>47.5</v>
      </c>
    </row>
    <row r="96" spans="1:6" ht="13">
      <c r="A96" s="238">
        <v>60</v>
      </c>
      <c r="B96" s="14" t="s">
        <v>1371</v>
      </c>
      <c r="C96" s="113">
        <v>2.6372992635968415E-2</v>
      </c>
      <c r="D96" s="238" t="s">
        <v>989</v>
      </c>
      <c r="E96" s="14"/>
      <c r="F96" s="238">
        <v>55</v>
      </c>
    </row>
    <row r="97" spans="1:6" ht="13">
      <c r="A97" s="238">
        <v>70</v>
      </c>
      <c r="B97" s="14" t="s">
        <v>265</v>
      </c>
      <c r="C97" s="113">
        <v>2.4813997997389006E-2</v>
      </c>
      <c r="D97" s="238" t="s">
        <v>989</v>
      </c>
      <c r="E97" s="14"/>
      <c r="F97" s="238">
        <v>65</v>
      </c>
    </row>
    <row r="98" spans="1:6" ht="13">
      <c r="A98" s="238">
        <v>80</v>
      </c>
      <c r="B98" s="14" t="s">
        <v>1372</v>
      </c>
      <c r="C98" s="113">
        <v>2.3644752018454444E-2</v>
      </c>
      <c r="D98" s="238" t="s">
        <v>989</v>
      </c>
      <c r="E98" s="14"/>
      <c r="F98" s="238">
        <v>75</v>
      </c>
    </row>
    <row r="99" spans="1:6" ht="13">
      <c r="A99" s="238">
        <v>90</v>
      </c>
      <c r="B99" s="14" t="s">
        <v>1373</v>
      </c>
      <c r="C99" s="113">
        <v>2.2735338479283114E-2</v>
      </c>
      <c r="D99" s="238" t="s">
        <v>989</v>
      </c>
      <c r="E99" s="14"/>
      <c r="F99" s="238">
        <v>85</v>
      </c>
    </row>
    <row r="100" spans="1:6" ht="13">
      <c r="A100" s="238">
        <v>100</v>
      </c>
      <c r="B100" s="14" t="s">
        <v>1374</v>
      </c>
      <c r="C100" s="113">
        <v>2.2007807647946059E-2</v>
      </c>
      <c r="D100" s="238" t="s">
        <v>989</v>
      </c>
      <c r="E100" s="14"/>
      <c r="F100" s="238">
        <v>95</v>
      </c>
    </row>
    <row r="101" spans="1:6" ht="13">
      <c r="A101" s="238">
        <v>150</v>
      </c>
      <c r="B101" s="14" t="s">
        <v>1375</v>
      </c>
      <c r="C101" s="113">
        <v>1.9825215153934882E-2</v>
      </c>
      <c r="D101" s="238" t="s">
        <v>989</v>
      </c>
      <c r="E101" s="14"/>
      <c r="F101" s="238">
        <v>125</v>
      </c>
    </row>
    <row r="102" spans="1:6" ht="13">
      <c r="A102" s="238">
        <v>200</v>
      </c>
      <c r="B102" s="14" t="s">
        <v>1376</v>
      </c>
      <c r="C102" s="113">
        <v>1.8733918906929287E-2</v>
      </c>
      <c r="D102" s="238" t="s">
        <v>989</v>
      </c>
      <c r="E102" s="14"/>
      <c r="F102" s="238">
        <v>175</v>
      </c>
    </row>
    <row r="103" spans="1:6" ht="13">
      <c r="A103" s="238">
        <v>250</v>
      </c>
      <c r="B103" s="14" t="s">
        <v>1377</v>
      </c>
      <c r="C103" s="113">
        <v>1.8079141158725935E-2</v>
      </c>
      <c r="D103" s="238" t="s">
        <v>989</v>
      </c>
      <c r="E103" s="14"/>
      <c r="F103" s="238">
        <v>225</v>
      </c>
    </row>
    <row r="104" spans="1:6" ht="13">
      <c r="B104" s="14" t="s">
        <v>1304</v>
      </c>
      <c r="C104" s="113">
        <v>1.8079141158725935E-2</v>
      </c>
      <c r="D104" s="238" t="s">
        <v>989</v>
      </c>
      <c r="E104" s="14"/>
      <c r="F104" s="238">
        <v>250</v>
      </c>
    </row>
    <row r="106" spans="1:6" ht="13">
      <c r="B106" s="348" t="s">
        <v>1080</v>
      </c>
      <c r="C106" s="349"/>
      <c r="D106" s="349"/>
      <c r="E106" s="350"/>
    </row>
    <row r="107" spans="1:6" ht="13">
      <c r="A107" s="238">
        <v>5</v>
      </c>
      <c r="B107" s="14" t="s">
        <v>1378</v>
      </c>
      <c r="C107" s="113">
        <v>18.56978085351788</v>
      </c>
      <c r="D107" s="238" t="s">
        <v>990</v>
      </c>
      <c r="E107" s="14"/>
      <c r="F107" s="238">
        <v>2.5</v>
      </c>
    </row>
    <row r="108" spans="1:6" ht="13">
      <c r="A108" s="238">
        <v>10</v>
      </c>
      <c r="B108" s="14" t="s">
        <v>1379</v>
      </c>
      <c r="C108" s="113">
        <v>10.265282583621687</v>
      </c>
      <c r="D108" s="238" t="s">
        <v>990</v>
      </c>
      <c r="E108" s="14"/>
      <c r="F108" s="238">
        <v>7.5</v>
      </c>
    </row>
    <row r="109" spans="1:6" ht="13">
      <c r="A109" s="238">
        <v>15</v>
      </c>
      <c r="B109" s="14" t="s">
        <v>1380</v>
      </c>
      <c r="C109" s="113">
        <v>7.4971164936562875</v>
      </c>
      <c r="D109" s="238" t="s">
        <v>990</v>
      </c>
      <c r="E109" s="14"/>
      <c r="F109" s="238">
        <v>12.5</v>
      </c>
    </row>
    <row r="110" spans="1:6" ht="13">
      <c r="A110" s="238">
        <v>20</v>
      </c>
      <c r="B110" s="14" t="s">
        <v>1381</v>
      </c>
      <c r="C110" s="113">
        <v>6.1130334486735878</v>
      </c>
      <c r="D110" s="238" t="s">
        <v>990</v>
      </c>
      <c r="E110" s="14"/>
      <c r="F110" s="238">
        <v>17.5</v>
      </c>
    </row>
    <row r="111" spans="1:6" ht="13">
      <c r="A111" s="238">
        <v>25</v>
      </c>
      <c r="B111" s="14" t="s">
        <v>1382</v>
      </c>
      <c r="C111" s="113">
        <v>5.2825836216839681</v>
      </c>
      <c r="D111" s="238" t="s">
        <v>990</v>
      </c>
      <c r="E111" s="14"/>
      <c r="F111" s="238">
        <v>22.5</v>
      </c>
    </row>
    <row r="112" spans="1:6" ht="13">
      <c r="A112" s="238">
        <v>30</v>
      </c>
      <c r="B112" s="14" t="s">
        <v>1383</v>
      </c>
      <c r="C112" s="113">
        <v>4.728950403690888</v>
      </c>
      <c r="D112" s="238" t="s">
        <v>990</v>
      </c>
      <c r="E112" s="14"/>
      <c r="F112" s="238">
        <v>27.5</v>
      </c>
    </row>
    <row r="113" spans="1:6" ht="13">
      <c r="A113" s="238">
        <v>35</v>
      </c>
      <c r="B113" s="14" t="s">
        <v>1384</v>
      </c>
      <c r="C113" s="113">
        <v>4.333498105124403</v>
      </c>
      <c r="D113" s="238" t="s">
        <v>990</v>
      </c>
      <c r="E113" s="14"/>
      <c r="F113" s="238">
        <v>32.5</v>
      </c>
    </row>
    <row r="114" spans="1:6" ht="13">
      <c r="A114" s="238">
        <v>40</v>
      </c>
      <c r="B114" s="14" t="s">
        <v>1385</v>
      </c>
      <c r="C114" s="113">
        <v>4.0369088811995386</v>
      </c>
      <c r="D114" s="238" t="s">
        <v>990</v>
      </c>
      <c r="E114" s="14"/>
      <c r="F114" s="238">
        <v>37.5</v>
      </c>
    </row>
    <row r="115" spans="1:6" ht="13">
      <c r="A115" s="238">
        <v>45</v>
      </c>
      <c r="B115" s="14" t="s">
        <v>1386</v>
      </c>
      <c r="C115" s="113">
        <v>3.8062283737024227</v>
      </c>
      <c r="D115" s="238" t="s">
        <v>990</v>
      </c>
      <c r="E115" s="14"/>
      <c r="F115" s="238">
        <v>42.5</v>
      </c>
    </row>
    <row r="116" spans="1:6" ht="13">
      <c r="A116" s="238">
        <v>50</v>
      </c>
      <c r="B116" s="14" t="s">
        <v>372</v>
      </c>
      <c r="C116" s="113">
        <v>3.6216839677047288</v>
      </c>
      <c r="D116" s="238" t="s">
        <v>990</v>
      </c>
      <c r="E116" s="14"/>
      <c r="F116" s="238">
        <v>47.5</v>
      </c>
    </row>
    <row r="117" spans="1:6" ht="13">
      <c r="A117" s="238">
        <v>60</v>
      </c>
      <c r="B117" s="14" t="s">
        <v>1387</v>
      </c>
      <c r="C117" s="113">
        <v>3.3448673587081896</v>
      </c>
      <c r="D117" s="238" t="s">
        <v>990</v>
      </c>
      <c r="E117" s="14"/>
      <c r="F117" s="238">
        <v>55</v>
      </c>
    </row>
    <row r="118" spans="1:6" ht="13">
      <c r="A118" s="238">
        <v>70</v>
      </c>
      <c r="B118" s="14" t="s">
        <v>1388</v>
      </c>
      <c r="C118" s="113">
        <v>3.1471412094249467</v>
      </c>
      <c r="D118" s="238" t="s">
        <v>990</v>
      </c>
      <c r="E118" s="14"/>
      <c r="F118" s="238">
        <v>65</v>
      </c>
    </row>
    <row r="119" spans="1:6" ht="13">
      <c r="A119" s="238">
        <v>80</v>
      </c>
      <c r="B119" s="14" t="s">
        <v>1389</v>
      </c>
      <c r="C119" s="113">
        <v>2.9988465974625145</v>
      </c>
      <c r="D119" s="238" t="s">
        <v>990</v>
      </c>
      <c r="E119" s="14"/>
      <c r="F119" s="238">
        <v>75</v>
      </c>
    </row>
    <row r="120" spans="1:6" ht="13">
      <c r="A120" s="238">
        <v>90</v>
      </c>
      <c r="B120" s="14" t="s">
        <v>1390</v>
      </c>
      <c r="C120" s="113">
        <v>2.8835063437139561</v>
      </c>
      <c r="D120" s="238" t="s">
        <v>990</v>
      </c>
      <c r="E120" s="14"/>
      <c r="F120" s="238">
        <v>85</v>
      </c>
    </row>
    <row r="121" spans="1:6" ht="13">
      <c r="A121" s="238">
        <v>100</v>
      </c>
      <c r="B121" s="14" t="s">
        <v>1391</v>
      </c>
      <c r="C121" s="113">
        <v>2.79123414071511</v>
      </c>
      <c r="D121" s="238" t="s">
        <v>990</v>
      </c>
      <c r="E121" s="14"/>
      <c r="F121" s="238">
        <v>95</v>
      </c>
    </row>
    <row r="122" spans="1:6" ht="13">
      <c r="A122" s="238">
        <v>150</v>
      </c>
      <c r="B122" s="14" t="s">
        <v>1392</v>
      </c>
      <c r="C122" s="113">
        <v>2.51441753171857</v>
      </c>
      <c r="D122" s="238" t="s">
        <v>990</v>
      </c>
      <c r="E122" s="14"/>
      <c r="F122" s="238">
        <v>125</v>
      </c>
    </row>
    <row r="123" spans="1:6" ht="13">
      <c r="A123" s="238">
        <v>200</v>
      </c>
      <c r="B123" s="14" t="s">
        <v>1393</v>
      </c>
      <c r="C123" s="113">
        <v>2.3760092272203002</v>
      </c>
      <c r="D123" s="238" t="s">
        <v>990</v>
      </c>
      <c r="E123" s="14"/>
      <c r="F123" s="238">
        <v>175</v>
      </c>
    </row>
    <row r="124" spans="1:6" ht="13">
      <c r="A124" s="238">
        <v>250</v>
      </c>
      <c r="B124" s="14" t="s">
        <v>1394</v>
      </c>
      <c r="C124" s="113">
        <v>2.2929642445213378</v>
      </c>
      <c r="D124" s="238" t="s">
        <v>990</v>
      </c>
      <c r="E124" s="14"/>
      <c r="F124" s="238">
        <v>225</v>
      </c>
    </row>
    <row r="125" spans="1:6" ht="13">
      <c r="B125" s="14" t="s">
        <v>1395</v>
      </c>
      <c r="C125" s="113">
        <v>2.2929642445213378</v>
      </c>
      <c r="D125" s="238" t="s">
        <v>990</v>
      </c>
      <c r="E125" s="14"/>
      <c r="F125" s="238">
        <v>250</v>
      </c>
    </row>
    <row r="127" spans="1:6" ht="13">
      <c r="B127" s="348" t="s">
        <v>1081</v>
      </c>
      <c r="C127" s="349"/>
      <c r="D127" s="349"/>
      <c r="E127" s="350"/>
    </row>
    <row r="128" spans="1:6" ht="13">
      <c r="A128" s="238">
        <v>5</v>
      </c>
      <c r="B128" s="14" t="s">
        <v>1396</v>
      </c>
      <c r="C128" s="113">
        <v>4.8467708333333333</v>
      </c>
      <c r="D128" s="238" t="s">
        <v>991</v>
      </c>
      <c r="E128" s="14"/>
      <c r="F128" s="238">
        <v>2.5</v>
      </c>
    </row>
    <row r="129" spans="1:6" ht="13">
      <c r="A129" s="238">
        <v>10</v>
      </c>
      <c r="B129" s="14" t="s">
        <v>1397</v>
      </c>
      <c r="C129" s="113">
        <v>2.6792708333333328</v>
      </c>
      <c r="D129" s="238" t="s">
        <v>991</v>
      </c>
      <c r="E129" s="14"/>
      <c r="F129" s="238">
        <v>7.5</v>
      </c>
    </row>
    <row r="130" spans="1:6" ht="13">
      <c r="A130" s="238">
        <v>15</v>
      </c>
      <c r="B130" s="14" t="s">
        <v>1398</v>
      </c>
      <c r="C130" s="113">
        <v>1.9567708333333333</v>
      </c>
      <c r="D130" s="238" t="s">
        <v>991</v>
      </c>
      <c r="E130" s="14"/>
      <c r="F130" s="238">
        <v>12.5</v>
      </c>
    </row>
    <row r="131" spans="1:6" ht="13">
      <c r="A131" s="238">
        <v>20</v>
      </c>
      <c r="B131" s="14" t="s">
        <v>1399</v>
      </c>
      <c r="C131" s="113">
        <v>1.5955208333333333</v>
      </c>
      <c r="D131" s="238" t="s">
        <v>991</v>
      </c>
      <c r="E131" s="14"/>
      <c r="F131" s="238">
        <v>17.5</v>
      </c>
    </row>
    <row r="132" spans="1:6" ht="13">
      <c r="A132" s="238">
        <v>25</v>
      </c>
      <c r="B132" s="14" t="s">
        <v>1400</v>
      </c>
      <c r="C132" s="113">
        <v>1.3787708333333331</v>
      </c>
      <c r="D132" s="238" t="s">
        <v>991</v>
      </c>
      <c r="E132" s="14"/>
      <c r="F132" s="238">
        <v>22.5</v>
      </c>
    </row>
    <row r="133" spans="1:6" ht="13">
      <c r="A133" s="238">
        <v>30</v>
      </c>
      <c r="B133" s="14" t="s">
        <v>387</v>
      </c>
      <c r="C133" s="113">
        <v>1.2342708333333332</v>
      </c>
      <c r="D133" s="238" t="s">
        <v>991</v>
      </c>
      <c r="E133" s="14"/>
      <c r="F133" s="238">
        <v>27.5</v>
      </c>
    </row>
    <row r="134" spans="1:6" ht="13">
      <c r="A134" s="238">
        <v>35</v>
      </c>
      <c r="B134" s="14" t="s">
        <v>1401</v>
      </c>
      <c r="C134" s="113">
        <v>1.1310565476190475</v>
      </c>
      <c r="D134" s="238" t="s">
        <v>991</v>
      </c>
      <c r="E134" s="14"/>
      <c r="F134" s="238">
        <v>32.5</v>
      </c>
    </row>
    <row r="135" spans="1:6" ht="13">
      <c r="A135" s="238">
        <v>40</v>
      </c>
      <c r="B135" s="14" t="s">
        <v>1402</v>
      </c>
      <c r="C135" s="113">
        <v>1.0536458333333332</v>
      </c>
      <c r="D135" s="238" t="s">
        <v>991</v>
      </c>
      <c r="E135" s="14"/>
      <c r="F135" s="238">
        <v>37.5</v>
      </c>
    </row>
    <row r="136" spans="1:6" ht="13">
      <c r="A136" s="238">
        <v>45</v>
      </c>
      <c r="B136" s="14" t="s">
        <v>1403</v>
      </c>
      <c r="C136" s="113">
        <v>0.99343750000000008</v>
      </c>
      <c r="D136" s="238" t="s">
        <v>991</v>
      </c>
      <c r="E136" s="14"/>
      <c r="F136" s="238">
        <v>42.5</v>
      </c>
    </row>
    <row r="137" spans="1:6" ht="13">
      <c r="A137" s="238">
        <v>50</v>
      </c>
      <c r="B137" s="14" t="s">
        <v>1404</v>
      </c>
      <c r="C137" s="113">
        <v>0.94527083333333306</v>
      </c>
      <c r="D137" s="238" t="s">
        <v>991</v>
      </c>
      <c r="E137" s="14"/>
      <c r="F137" s="238">
        <v>47.5</v>
      </c>
    </row>
    <row r="138" spans="1:6" ht="13">
      <c r="A138" s="238">
        <v>60</v>
      </c>
      <c r="B138" s="14" t="s">
        <v>1405</v>
      </c>
      <c r="C138" s="113">
        <v>0.87302083333333336</v>
      </c>
      <c r="D138" s="238" t="s">
        <v>991</v>
      </c>
      <c r="E138" s="14"/>
      <c r="F138" s="238">
        <v>55</v>
      </c>
    </row>
    <row r="139" spans="1:6" ht="13">
      <c r="A139" s="238">
        <v>70</v>
      </c>
      <c r="B139" s="14" t="s">
        <v>1406</v>
      </c>
      <c r="C139" s="113">
        <v>0.82141369047619039</v>
      </c>
      <c r="D139" s="238" t="s">
        <v>991</v>
      </c>
      <c r="E139" s="14"/>
      <c r="F139" s="238">
        <v>65</v>
      </c>
    </row>
    <row r="140" spans="1:6" ht="13">
      <c r="A140" s="238">
        <v>80</v>
      </c>
      <c r="B140" s="14" t="s">
        <v>1407</v>
      </c>
      <c r="C140" s="113">
        <v>0.78270833333333323</v>
      </c>
      <c r="D140" s="238" t="s">
        <v>991</v>
      </c>
      <c r="E140" s="14"/>
      <c r="F140" s="238">
        <v>75</v>
      </c>
    </row>
    <row r="141" spans="1:6" ht="13">
      <c r="A141" s="238">
        <v>90</v>
      </c>
      <c r="B141" s="14" t="s">
        <v>1408</v>
      </c>
      <c r="C141" s="113">
        <v>0.75260416666666663</v>
      </c>
      <c r="D141" s="238" t="s">
        <v>991</v>
      </c>
      <c r="E141" s="14"/>
      <c r="F141" s="238">
        <v>85</v>
      </c>
    </row>
    <row r="142" spans="1:6" ht="13">
      <c r="A142" s="238">
        <v>100</v>
      </c>
      <c r="B142" s="14" t="s">
        <v>1409</v>
      </c>
      <c r="C142" s="113">
        <v>0.72852083333333328</v>
      </c>
      <c r="D142" s="238" t="s">
        <v>991</v>
      </c>
      <c r="E142" s="14"/>
      <c r="F142" s="238">
        <v>95</v>
      </c>
    </row>
    <row r="143" spans="1:6" ht="13">
      <c r="A143" s="238">
        <v>150</v>
      </c>
      <c r="B143" s="14" t="s">
        <v>1410</v>
      </c>
      <c r="C143" s="113">
        <v>0.65627083333333336</v>
      </c>
      <c r="D143" s="238" t="s">
        <v>991</v>
      </c>
      <c r="E143" s="14"/>
      <c r="F143" s="238">
        <v>125</v>
      </c>
    </row>
    <row r="144" spans="1:6" ht="13">
      <c r="A144" s="238">
        <v>200</v>
      </c>
      <c r="B144" s="14" t="s">
        <v>1411</v>
      </c>
      <c r="C144" s="113">
        <v>0.6201458333333334</v>
      </c>
      <c r="D144" s="238" t="s">
        <v>991</v>
      </c>
      <c r="E144" s="14"/>
      <c r="F144" s="238">
        <v>175</v>
      </c>
    </row>
    <row r="145" spans="1:6" ht="13">
      <c r="A145" s="238">
        <v>250</v>
      </c>
      <c r="B145" s="14" t="s">
        <v>1412</v>
      </c>
      <c r="C145" s="113">
        <v>0.5984708333333334</v>
      </c>
      <c r="D145" s="238" t="s">
        <v>991</v>
      </c>
      <c r="E145" s="14"/>
      <c r="F145" s="238">
        <v>225</v>
      </c>
    </row>
    <row r="146" spans="1:6" ht="13">
      <c r="B146" s="14" t="s">
        <v>1413</v>
      </c>
      <c r="C146" s="113">
        <v>0.5984708333333334</v>
      </c>
      <c r="D146" s="238" t="s">
        <v>991</v>
      </c>
      <c r="E146" s="14"/>
      <c r="F146" s="238">
        <v>250</v>
      </c>
    </row>
    <row r="148" spans="1:6" ht="13">
      <c r="B148" s="348" t="s">
        <v>1082</v>
      </c>
      <c r="C148" s="349"/>
      <c r="D148" s="349"/>
      <c r="E148" s="350"/>
    </row>
    <row r="149" spans="1:6" ht="13">
      <c r="A149" s="238">
        <v>5</v>
      </c>
      <c r="B149" s="14" t="s">
        <v>1414</v>
      </c>
      <c r="C149" s="113">
        <v>9.6935416666666665</v>
      </c>
      <c r="D149" s="238" t="s">
        <v>992</v>
      </c>
      <c r="E149" s="14"/>
      <c r="F149" s="238">
        <v>2.5</v>
      </c>
    </row>
    <row r="150" spans="1:6" ht="13">
      <c r="A150" s="238">
        <v>10</v>
      </c>
      <c r="B150" s="14" t="s">
        <v>1415</v>
      </c>
      <c r="C150" s="113">
        <v>9.6935416666666665</v>
      </c>
      <c r="D150" s="238" t="s">
        <v>992</v>
      </c>
      <c r="E150" s="14"/>
      <c r="F150" s="238">
        <v>7.5</v>
      </c>
    </row>
    <row r="151" spans="1:6" ht="13">
      <c r="A151" s="238">
        <v>15</v>
      </c>
      <c r="B151" s="14" t="s">
        <v>1416</v>
      </c>
      <c r="C151" s="113">
        <v>9.6935416666666647</v>
      </c>
      <c r="D151" s="238" t="s">
        <v>992</v>
      </c>
      <c r="E151" s="14"/>
      <c r="F151" s="238">
        <v>12.5</v>
      </c>
    </row>
    <row r="152" spans="1:6" ht="13">
      <c r="A152" s="238">
        <v>20</v>
      </c>
      <c r="B152" s="14" t="s">
        <v>1417</v>
      </c>
      <c r="C152" s="113">
        <v>9.6935416666666665</v>
      </c>
      <c r="D152" s="238" t="s">
        <v>992</v>
      </c>
      <c r="E152" s="14"/>
      <c r="F152" s="238">
        <v>17.5</v>
      </c>
    </row>
    <row r="153" spans="1:6" ht="13">
      <c r="A153" s="238">
        <v>25</v>
      </c>
      <c r="B153" s="14" t="s">
        <v>1418</v>
      </c>
      <c r="C153" s="113">
        <v>9.6935416666666647</v>
      </c>
      <c r="D153" s="238" t="s">
        <v>992</v>
      </c>
      <c r="E153" s="14"/>
      <c r="F153" s="238">
        <v>22.5</v>
      </c>
    </row>
    <row r="154" spans="1:6" ht="13">
      <c r="A154" s="238">
        <v>30</v>
      </c>
      <c r="B154" s="14" t="s">
        <v>1419</v>
      </c>
      <c r="C154" s="113">
        <v>9.6935416666666647</v>
      </c>
      <c r="D154" s="238" t="s">
        <v>992</v>
      </c>
      <c r="E154" s="14"/>
      <c r="F154" s="238">
        <v>27.5</v>
      </c>
    </row>
    <row r="155" spans="1:6" ht="13">
      <c r="A155" s="238">
        <v>35</v>
      </c>
      <c r="B155" s="14" t="s">
        <v>398</v>
      </c>
      <c r="C155" s="113">
        <v>9.6935416666666665</v>
      </c>
      <c r="D155" s="238" t="s">
        <v>992</v>
      </c>
      <c r="E155" s="14"/>
      <c r="F155" s="238">
        <v>32.5</v>
      </c>
    </row>
    <row r="156" spans="1:6" ht="13">
      <c r="A156" s="238">
        <v>40</v>
      </c>
      <c r="B156" s="14" t="s">
        <v>1420</v>
      </c>
      <c r="C156" s="113">
        <v>9.6935416666666665</v>
      </c>
      <c r="D156" s="238" t="s">
        <v>992</v>
      </c>
      <c r="E156" s="14"/>
      <c r="F156" s="238">
        <v>37.5</v>
      </c>
    </row>
    <row r="157" spans="1:6" ht="13">
      <c r="A157" s="238">
        <v>45</v>
      </c>
      <c r="B157" s="14" t="s">
        <v>1421</v>
      </c>
      <c r="C157" s="113">
        <v>9.6935416666666665</v>
      </c>
      <c r="D157" s="238" t="s">
        <v>992</v>
      </c>
      <c r="E157" s="14"/>
      <c r="F157" s="238">
        <v>42.5</v>
      </c>
    </row>
    <row r="158" spans="1:6" ht="13">
      <c r="A158" s="238">
        <v>50</v>
      </c>
      <c r="B158" s="14" t="s">
        <v>1422</v>
      </c>
      <c r="C158" s="113">
        <v>9.6935416666666647</v>
      </c>
      <c r="D158" s="238" t="s">
        <v>992</v>
      </c>
      <c r="E158" s="14"/>
      <c r="F158" s="238">
        <v>47.5</v>
      </c>
    </row>
    <row r="159" spans="1:6" ht="13">
      <c r="A159" s="238">
        <v>60</v>
      </c>
      <c r="B159" s="14" t="s">
        <v>1423</v>
      </c>
      <c r="C159" s="113">
        <v>8.9710416666666628</v>
      </c>
      <c r="D159" s="238" t="s">
        <v>992</v>
      </c>
      <c r="E159" s="14"/>
      <c r="F159" s="238">
        <v>55</v>
      </c>
    </row>
    <row r="160" spans="1:6" ht="13">
      <c r="A160" s="238">
        <v>70</v>
      </c>
      <c r="B160" s="14" t="s">
        <v>1424</v>
      </c>
      <c r="C160" s="113">
        <v>8.454970238095239</v>
      </c>
      <c r="D160" s="238" t="s">
        <v>992</v>
      </c>
      <c r="E160" s="14"/>
      <c r="F160" s="238">
        <v>65</v>
      </c>
    </row>
    <row r="161" spans="1:6" ht="13">
      <c r="A161" s="238">
        <v>80</v>
      </c>
      <c r="B161" s="14" t="s">
        <v>1425</v>
      </c>
      <c r="C161" s="113">
        <v>8.0679166666666653</v>
      </c>
      <c r="D161" s="238" t="s">
        <v>992</v>
      </c>
      <c r="E161" s="14"/>
      <c r="F161" s="238">
        <v>75</v>
      </c>
    </row>
    <row r="162" spans="1:6" ht="13">
      <c r="A162" s="238">
        <v>90</v>
      </c>
      <c r="B162" s="14" t="s">
        <v>1426</v>
      </c>
      <c r="C162" s="113">
        <v>7.7668749999999998</v>
      </c>
      <c r="D162" s="238" t="s">
        <v>992</v>
      </c>
      <c r="E162" s="14"/>
      <c r="F162" s="238">
        <v>85</v>
      </c>
    </row>
    <row r="163" spans="1:6" ht="13">
      <c r="A163" s="238">
        <v>100</v>
      </c>
      <c r="B163" s="14" t="s">
        <v>1427</v>
      </c>
      <c r="C163" s="113">
        <v>7.5260416666666661</v>
      </c>
      <c r="D163" s="238" t="s">
        <v>992</v>
      </c>
      <c r="E163" s="14"/>
      <c r="F163" s="238">
        <v>95</v>
      </c>
    </row>
    <row r="164" spans="1:6" ht="13">
      <c r="A164" s="238">
        <v>150</v>
      </c>
      <c r="B164" s="14" t="s">
        <v>1428</v>
      </c>
      <c r="C164" s="113">
        <v>5.6475416666666662</v>
      </c>
      <c r="D164" s="238" t="s">
        <v>992</v>
      </c>
      <c r="E164" s="14"/>
      <c r="F164" s="238">
        <v>125</v>
      </c>
    </row>
    <row r="165" spans="1:6" ht="13">
      <c r="A165" s="238">
        <v>200</v>
      </c>
      <c r="B165" s="14" t="s">
        <v>1429</v>
      </c>
      <c r="C165" s="113">
        <v>4.7082916666666668</v>
      </c>
      <c r="D165" s="238" t="s">
        <v>992</v>
      </c>
      <c r="E165" s="14"/>
      <c r="F165" s="238">
        <v>175</v>
      </c>
    </row>
    <row r="166" spans="1:6" ht="13">
      <c r="A166" s="238">
        <v>250</v>
      </c>
      <c r="B166" s="14" t="s">
        <v>1430</v>
      </c>
      <c r="C166" s="113">
        <v>4.1447416666666665</v>
      </c>
      <c r="D166" s="238" t="s">
        <v>992</v>
      </c>
      <c r="E166" s="14"/>
      <c r="F166" s="238">
        <v>225</v>
      </c>
    </row>
    <row r="167" spans="1:6" ht="13">
      <c r="B167" s="14" t="s">
        <v>1431</v>
      </c>
      <c r="C167" s="113">
        <v>4.1447416666666665</v>
      </c>
      <c r="D167" s="238" t="s">
        <v>992</v>
      </c>
      <c r="E167" s="14"/>
      <c r="F167" s="238">
        <v>250</v>
      </c>
    </row>
    <row r="168" spans="1:6" s="214" customFormat="1"/>
    <row r="169" spans="1:6" ht="13">
      <c r="B169" s="348" t="s">
        <v>1083</v>
      </c>
      <c r="C169" s="349"/>
      <c r="D169" s="349"/>
      <c r="E169" s="350"/>
    </row>
    <row r="170" spans="1:6" ht="13">
      <c r="A170" s="238">
        <v>5</v>
      </c>
      <c r="B170" s="14" t="s">
        <v>1432</v>
      </c>
      <c r="C170" s="113">
        <v>0.40389756944444449</v>
      </c>
      <c r="D170" s="238" t="s">
        <v>967</v>
      </c>
      <c r="E170" s="14"/>
      <c r="F170" s="238">
        <v>2.5</v>
      </c>
    </row>
    <row r="171" spans="1:6" ht="13">
      <c r="A171" s="238">
        <v>10</v>
      </c>
      <c r="B171" s="14" t="s">
        <v>1433</v>
      </c>
      <c r="C171" s="113">
        <v>0.2232725694444444</v>
      </c>
      <c r="D171" s="238" t="s">
        <v>967</v>
      </c>
      <c r="E171" s="14"/>
      <c r="F171" s="238">
        <v>7.5</v>
      </c>
    </row>
    <row r="172" spans="1:6" ht="13">
      <c r="A172" s="238">
        <v>15</v>
      </c>
      <c r="B172" s="14" t="s">
        <v>100</v>
      </c>
      <c r="C172" s="113">
        <v>0.16306423611111109</v>
      </c>
      <c r="D172" s="238" t="s">
        <v>967</v>
      </c>
      <c r="E172" s="14"/>
      <c r="F172" s="238">
        <v>12.5</v>
      </c>
    </row>
    <row r="173" spans="1:6" ht="13">
      <c r="A173" s="238">
        <v>20</v>
      </c>
      <c r="B173" s="14" t="s">
        <v>1434</v>
      </c>
      <c r="C173" s="113">
        <v>0.13296006944444444</v>
      </c>
      <c r="D173" s="238" t="s">
        <v>967</v>
      </c>
      <c r="E173" s="14"/>
      <c r="F173" s="238">
        <v>17.5</v>
      </c>
    </row>
    <row r="174" spans="1:6" ht="13">
      <c r="A174" s="238">
        <v>25</v>
      </c>
      <c r="B174" s="14" t="s">
        <v>1435</v>
      </c>
      <c r="C174" s="113">
        <v>0.11489756944444443</v>
      </c>
      <c r="D174" s="238" t="s">
        <v>967</v>
      </c>
      <c r="E174" s="14"/>
      <c r="F174" s="238">
        <v>22.5</v>
      </c>
    </row>
    <row r="175" spans="1:6" ht="13">
      <c r="A175" s="238">
        <v>30</v>
      </c>
      <c r="B175" s="14" t="s">
        <v>1436</v>
      </c>
      <c r="C175" s="113">
        <v>0.10285590277777777</v>
      </c>
      <c r="D175" s="238" t="s">
        <v>967</v>
      </c>
      <c r="E175" s="14"/>
      <c r="F175" s="238">
        <v>27.5</v>
      </c>
    </row>
    <row r="176" spans="1:6" ht="13">
      <c r="A176" s="238">
        <v>35</v>
      </c>
      <c r="B176" s="14" t="s">
        <v>1437</v>
      </c>
      <c r="C176" s="113">
        <v>9.4254712301587301E-2</v>
      </c>
      <c r="D176" s="238" t="s">
        <v>967</v>
      </c>
      <c r="E176" s="14"/>
      <c r="F176" s="238">
        <v>32.5</v>
      </c>
    </row>
    <row r="177" spans="1:6" ht="13">
      <c r="A177" s="238">
        <v>40</v>
      </c>
      <c r="B177" s="14" t="s">
        <v>1438</v>
      </c>
      <c r="C177" s="113">
        <v>8.7803819444444431E-2</v>
      </c>
      <c r="D177" s="238" t="s">
        <v>967</v>
      </c>
      <c r="E177" s="14"/>
      <c r="F177" s="238">
        <v>37.5</v>
      </c>
    </row>
    <row r="178" spans="1:6" ht="13">
      <c r="A178" s="238">
        <v>45</v>
      </c>
      <c r="B178" s="14" t="s">
        <v>1439</v>
      </c>
      <c r="C178" s="113">
        <v>8.278645833333334E-2</v>
      </c>
      <c r="D178" s="238" t="s">
        <v>967</v>
      </c>
      <c r="E178" s="14"/>
      <c r="F178" s="238">
        <v>42.5</v>
      </c>
    </row>
    <row r="179" spans="1:6" ht="13">
      <c r="A179" s="238">
        <v>50</v>
      </c>
      <c r="B179" s="14" t="s">
        <v>1440</v>
      </c>
      <c r="C179" s="113">
        <v>7.8772569444444426E-2</v>
      </c>
      <c r="D179" s="238" t="s">
        <v>967</v>
      </c>
      <c r="E179" s="14"/>
      <c r="F179" s="238">
        <v>47.5</v>
      </c>
    </row>
    <row r="180" spans="1:6" ht="13">
      <c r="A180" s="238">
        <v>60</v>
      </c>
      <c r="B180" s="14" t="s">
        <v>1441</v>
      </c>
      <c r="C180" s="113">
        <v>7.2751736111111118E-2</v>
      </c>
      <c r="D180" s="238" t="s">
        <v>967</v>
      </c>
      <c r="E180" s="14"/>
      <c r="F180" s="238">
        <v>55</v>
      </c>
    </row>
    <row r="181" spans="1:6" ht="13">
      <c r="A181" s="238">
        <v>70</v>
      </c>
      <c r="B181" s="14" t="s">
        <v>1442</v>
      </c>
      <c r="C181" s="113">
        <v>6.8451140873015875E-2</v>
      </c>
      <c r="D181" s="238" t="s">
        <v>967</v>
      </c>
      <c r="E181" s="14"/>
      <c r="F181" s="238">
        <v>65</v>
      </c>
    </row>
    <row r="182" spans="1:6" ht="13">
      <c r="A182" s="238">
        <v>80</v>
      </c>
      <c r="B182" s="14" t="s">
        <v>1443</v>
      </c>
      <c r="C182" s="113">
        <v>6.522569444444444E-2</v>
      </c>
      <c r="D182" s="238" t="s">
        <v>967</v>
      </c>
      <c r="E182" s="14"/>
      <c r="F182" s="238">
        <v>75</v>
      </c>
    </row>
    <row r="183" spans="1:6" ht="13">
      <c r="A183" s="238">
        <v>90</v>
      </c>
      <c r="B183" s="14" t="s">
        <v>1444</v>
      </c>
      <c r="C183" s="113">
        <v>6.2717013888888895E-2</v>
      </c>
      <c r="D183" s="238" t="s">
        <v>967</v>
      </c>
      <c r="E183" s="14"/>
      <c r="F183" s="238">
        <v>85</v>
      </c>
    </row>
    <row r="184" spans="1:6" ht="13">
      <c r="A184" s="238">
        <v>100</v>
      </c>
      <c r="B184" s="14" t="s">
        <v>1445</v>
      </c>
      <c r="C184" s="113">
        <v>6.0710069444444438E-2</v>
      </c>
      <c r="D184" s="238" t="s">
        <v>967</v>
      </c>
      <c r="E184" s="14"/>
      <c r="F184" s="238">
        <v>95</v>
      </c>
    </row>
    <row r="185" spans="1:6" ht="13">
      <c r="A185" s="238">
        <v>150</v>
      </c>
      <c r="B185" s="14" t="s">
        <v>1446</v>
      </c>
      <c r="C185" s="113">
        <v>5.4689236111111109E-2</v>
      </c>
      <c r="D185" s="238" t="s">
        <v>967</v>
      </c>
      <c r="E185" s="14"/>
      <c r="F185" s="238">
        <v>125</v>
      </c>
    </row>
    <row r="186" spans="1:6" ht="13">
      <c r="A186" s="238">
        <v>200</v>
      </c>
      <c r="B186" s="14" t="s">
        <v>1447</v>
      </c>
      <c r="C186" s="113">
        <v>5.1678819444444447E-2</v>
      </c>
      <c r="D186" s="238" t="s">
        <v>967</v>
      </c>
      <c r="E186" s="14"/>
      <c r="F186" s="238">
        <v>175</v>
      </c>
    </row>
    <row r="187" spans="1:6" ht="13">
      <c r="A187" s="238">
        <v>250</v>
      </c>
      <c r="B187" s="14" t="s">
        <v>1448</v>
      </c>
      <c r="C187" s="113">
        <v>4.9872569444444452E-2</v>
      </c>
      <c r="D187" s="238" t="s">
        <v>967</v>
      </c>
      <c r="E187" s="14"/>
      <c r="F187" s="238">
        <v>225</v>
      </c>
    </row>
    <row r="188" spans="1:6" ht="13">
      <c r="B188" s="14" t="s">
        <v>1449</v>
      </c>
      <c r="C188" s="113">
        <v>4.9872569444444452E-2</v>
      </c>
      <c r="D188" s="238" t="s">
        <v>967</v>
      </c>
      <c r="E188" s="14"/>
      <c r="F188" s="238">
        <v>250</v>
      </c>
    </row>
    <row r="190" spans="1:6" ht="13">
      <c r="B190" s="348" t="s">
        <v>1084</v>
      </c>
      <c r="C190" s="349"/>
      <c r="D190" s="349"/>
      <c r="E190" s="350"/>
    </row>
    <row r="191" spans="1:6" ht="13">
      <c r="A191" s="238">
        <v>5</v>
      </c>
      <c r="B191" s="14" t="s">
        <v>1450</v>
      </c>
      <c r="C191" s="113">
        <v>1.3847916666666666</v>
      </c>
      <c r="D191" s="238" t="s">
        <v>996</v>
      </c>
      <c r="E191" s="14"/>
      <c r="F191" s="238">
        <v>2.5</v>
      </c>
    </row>
    <row r="192" spans="1:6" ht="13">
      <c r="A192" s="238">
        <v>10</v>
      </c>
      <c r="B192" s="14" t="s">
        <v>1451</v>
      </c>
      <c r="C192" s="113">
        <v>1.3847916666666666</v>
      </c>
      <c r="D192" s="238" t="s">
        <v>996</v>
      </c>
      <c r="E192" s="14"/>
      <c r="F192" s="238">
        <v>7.5</v>
      </c>
    </row>
    <row r="193" spans="1:6" ht="13">
      <c r="A193" s="238">
        <v>15</v>
      </c>
      <c r="B193" s="14" t="s">
        <v>103</v>
      </c>
      <c r="C193" s="113">
        <v>1.3847916666666662</v>
      </c>
      <c r="D193" s="238" t="s">
        <v>996</v>
      </c>
      <c r="E193" s="14"/>
      <c r="F193" s="238">
        <v>12.5</v>
      </c>
    </row>
    <row r="194" spans="1:6" ht="13">
      <c r="A194" s="238">
        <v>20</v>
      </c>
      <c r="B194" s="14" t="s">
        <v>1452</v>
      </c>
      <c r="C194" s="113">
        <v>1.3847916666666666</v>
      </c>
      <c r="D194" s="238" t="s">
        <v>996</v>
      </c>
      <c r="E194" s="14"/>
      <c r="F194" s="238">
        <v>17.5</v>
      </c>
    </row>
    <row r="195" spans="1:6" ht="13">
      <c r="A195" s="238">
        <v>25</v>
      </c>
      <c r="B195" s="14" t="s">
        <v>1453</v>
      </c>
      <c r="C195" s="113">
        <v>1.3847916666666666</v>
      </c>
      <c r="D195" s="238" t="s">
        <v>996</v>
      </c>
      <c r="E195" s="14"/>
      <c r="F195" s="238">
        <v>22.5</v>
      </c>
    </row>
    <row r="196" spans="1:6" ht="13">
      <c r="A196" s="238">
        <v>30</v>
      </c>
      <c r="B196" s="14" t="s">
        <v>1454</v>
      </c>
      <c r="C196" s="113">
        <v>1.3847916666666662</v>
      </c>
      <c r="D196" s="238" t="s">
        <v>996</v>
      </c>
      <c r="E196" s="14"/>
      <c r="F196" s="238">
        <v>27.5</v>
      </c>
    </row>
    <row r="197" spans="1:6" ht="13">
      <c r="A197" s="238">
        <v>35</v>
      </c>
      <c r="B197" s="14" t="s">
        <v>1455</v>
      </c>
      <c r="C197" s="113">
        <v>1.3847916666666666</v>
      </c>
      <c r="D197" s="238" t="s">
        <v>996</v>
      </c>
      <c r="E197" s="14"/>
      <c r="F197" s="238">
        <v>32.5</v>
      </c>
    </row>
    <row r="198" spans="1:6" ht="13">
      <c r="A198" s="238">
        <v>40</v>
      </c>
      <c r="B198" s="14" t="s">
        <v>1456</v>
      </c>
      <c r="C198" s="113">
        <v>1.3847916666666666</v>
      </c>
      <c r="D198" s="238" t="s">
        <v>996</v>
      </c>
      <c r="E198" s="14"/>
      <c r="F198" s="238">
        <v>37.5</v>
      </c>
    </row>
    <row r="199" spans="1:6" ht="13">
      <c r="A199" s="238">
        <v>45</v>
      </c>
      <c r="B199" s="14" t="s">
        <v>1457</v>
      </c>
      <c r="C199" s="113">
        <v>1.3847916666666666</v>
      </c>
      <c r="D199" s="238" t="s">
        <v>996</v>
      </c>
      <c r="E199" s="14"/>
      <c r="F199" s="238">
        <v>42.5</v>
      </c>
    </row>
    <row r="200" spans="1:6" ht="13">
      <c r="A200" s="238">
        <v>50</v>
      </c>
      <c r="B200" s="14" t="s">
        <v>1458</v>
      </c>
      <c r="C200" s="113">
        <v>1.3847916666666666</v>
      </c>
      <c r="D200" s="238" t="s">
        <v>996</v>
      </c>
      <c r="E200" s="14"/>
      <c r="F200" s="238">
        <v>47.5</v>
      </c>
    </row>
    <row r="201" spans="1:6" ht="13">
      <c r="A201" s="238">
        <v>60</v>
      </c>
      <c r="B201" s="14" t="s">
        <v>1459</v>
      </c>
      <c r="C201" s="113">
        <v>1.2815773809523805</v>
      </c>
      <c r="D201" s="238" t="s">
        <v>996</v>
      </c>
      <c r="E201" s="14"/>
      <c r="F201" s="238">
        <v>55</v>
      </c>
    </row>
    <row r="202" spans="1:6" ht="13">
      <c r="A202" s="238">
        <v>70</v>
      </c>
      <c r="B202" s="14" t="s">
        <v>1460</v>
      </c>
      <c r="C202" s="113">
        <v>1.2078528911564625</v>
      </c>
      <c r="D202" s="238" t="s">
        <v>996</v>
      </c>
      <c r="E202" s="14"/>
      <c r="F202" s="238">
        <v>65</v>
      </c>
    </row>
    <row r="203" spans="1:6" ht="13">
      <c r="A203" s="238">
        <v>80</v>
      </c>
      <c r="B203" s="14" t="s">
        <v>1461</v>
      </c>
      <c r="C203" s="113">
        <v>1.1525595238095236</v>
      </c>
      <c r="D203" s="238" t="s">
        <v>996</v>
      </c>
      <c r="E203" s="14"/>
      <c r="F203" s="238">
        <v>75</v>
      </c>
    </row>
    <row r="204" spans="1:6" ht="13">
      <c r="A204" s="238">
        <v>90</v>
      </c>
      <c r="B204" s="14" t="s">
        <v>1462</v>
      </c>
      <c r="C204" s="113">
        <v>1.1095535714285714</v>
      </c>
      <c r="D204" s="238" t="s">
        <v>996</v>
      </c>
      <c r="E204" s="14"/>
      <c r="F204" s="238">
        <v>85</v>
      </c>
    </row>
    <row r="205" spans="1:6" ht="13">
      <c r="A205" s="238">
        <v>100</v>
      </c>
      <c r="B205" s="14" t="s">
        <v>1463</v>
      </c>
      <c r="C205" s="113">
        <v>1.0751488095238095</v>
      </c>
      <c r="D205" s="238" t="s">
        <v>996</v>
      </c>
      <c r="E205" s="14"/>
      <c r="F205" s="238">
        <v>95</v>
      </c>
    </row>
    <row r="206" spans="1:6" ht="13">
      <c r="A206" s="238">
        <v>150</v>
      </c>
      <c r="B206" s="14" t="s">
        <v>1464</v>
      </c>
      <c r="C206" s="113">
        <v>0.80679166666666657</v>
      </c>
      <c r="D206" s="238" t="s">
        <v>996</v>
      </c>
      <c r="E206" s="14"/>
      <c r="F206" s="238">
        <v>125</v>
      </c>
    </row>
    <row r="207" spans="1:6" ht="13">
      <c r="A207" s="238">
        <v>200</v>
      </c>
      <c r="B207" s="14" t="s">
        <v>1465</v>
      </c>
      <c r="C207" s="113">
        <v>0.6726130952380952</v>
      </c>
      <c r="D207" s="238" t="s">
        <v>996</v>
      </c>
      <c r="E207" s="14"/>
      <c r="F207" s="238">
        <v>175</v>
      </c>
    </row>
    <row r="208" spans="1:6" ht="13">
      <c r="A208" s="238">
        <v>250</v>
      </c>
      <c r="B208" s="14" t="s">
        <v>1466</v>
      </c>
      <c r="C208" s="113">
        <v>0.59210595238095243</v>
      </c>
      <c r="D208" s="238" t="s">
        <v>996</v>
      </c>
      <c r="E208" s="14"/>
      <c r="F208" s="238">
        <v>225</v>
      </c>
    </row>
    <row r="209" spans="1:6" ht="13">
      <c r="B209" s="14" t="s">
        <v>1467</v>
      </c>
      <c r="C209" s="113">
        <v>0.59210595238095243</v>
      </c>
      <c r="D209" s="238" t="s">
        <v>996</v>
      </c>
      <c r="E209" s="14"/>
      <c r="F209" s="238">
        <v>250</v>
      </c>
    </row>
    <row r="211" spans="1:6" ht="13">
      <c r="B211" s="348" t="s">
        <v>173</v>
      </c>
      <c r="C211" s="349"/>
      <c r="D211" s="349"/>
      <c r="E211" s="349"/>
    </row>
    <row r="212" spans="1:6" ht="13">
      <c r="A212" s="238" t="s">
        <v>157</v>
      </c>
      <c r="B212" s="14" t="s">
        <v>175</v>
      </c>
      <c r="C212" s="113">
        <v>633.05745902904505</v>
      </c>
      <c r="D212" s="238" t="s">
        <v>1002</v>
      </c>
      <c r="E212" s="14"/>
    </row>
    <row r="213" spans="1:6" ht="13">
      <c r="A213" s="238" t="s">
        <v>157</v>
      </c>
      <c r="B213" s="14" t="s">
        <v>177</v>
      </c>
      <c r="C213" s="113">
        <v>13254.187509179572</v>
      </c>
      <c r="D213" s="238" t="s">
        <v>1002</v>
      </c>
      <c r="E213" s="14"/>
    </row>
    <row r="214" spans="1:6" ht="13">
      <c r="A214" s="238" t="s">
        <v>157</v>
      </c>
      <c r="B214" s="14" t="s">
        <v>179</v>
      </c>
      <c r="C214" s="113">
        <v>43433.389400901091</v>
      </c>
      <c r="D214" s="238" t="s">
        <v>1002</v>
      </c>
      <c r="E214" s="14"/>
    </row>
    <row r="215" spans="1:6" ht="13">
      <c r="A215" s="238" t="s">
        <v>146</v>
      </c>
      <c r="B215" s="14" t="s">
        <v>175</v>
      </c>
      <c r="C215" s="113">
        <v>3595.5125810103491</v>
      </c>
      <c r="D215" s="238" t="s">
        <v>1002</v>
      </c>
      <c r="E215" s="14"/>
    </row>
    <row r="216" spans="1:6" ht="13">
      <c r="A216" s="238" t="s">
        <v>146</v>
      </c>
      <c r="B216" s="14" t="s">
        <v>177</v>
      </c>
      <c r="C216" s="113">
        <v>16216.642631160876</v>
      </c>
      <c r="D216" s="238" t="s">
        <v>1002</v>
      </c>
      <c r="E216" s="14"/>
    </row>
    <row r="217" spans="1:6" ht="13">
      <c r="A217" s="238" t="s">
        <v>146</v>
      </c>
      <c r="B217" s="14" t="s">
        <v>179</v>
      </c>
      <c r="C217" s="113">
        <v>49358.299644863699</v>
      </c>
      <c r="D217" s="238" t="s">
        <v>1002</v>
      </c>
      <c r="E217" s="14"/>
    </row>
    <row r="218" spans="1:6" ht="13">
      <c r="A218" s="238" t="s">
        <v>148</v>
      </c>
      <c r="B218" s="14" t="s">
        <v>175</v>
      </c>
      <c r="C218" s="113">
        <v>4785.51258101035</v>
      </c>
      <c r="D218" s="238" t="s">
        <v>1002</v>
      </c>
      <c r="E218" s="14"/>
    </row>
    <row r="219" spans="1:6" ht="13">
      <c r="A219" s="238" t="s">
        <v>148</v>
      </c>
      <c r="B219" s="14" t="s">
        <v>177</v>
      </c>
      <c r="C219" s="113">
        <v>17406.642631160877</v>
      </c>
      <c r="D219" s="238" t="s">
        <v>1002</v>
      </c>
      <c r="E219" s="14"/>
    </row>
    <row r="220" spans="1:6" ht="13">
      <c r="A220" s="238" t="s">
        <v>148</v>
      </c>
      <c r="B220" s="14" t="s">
        <v>179</v>
      </c>
      <c r="C220" s="113">
        <v>51738.299644863699</v>
      </c>
      <c r="D220" s="238" t="s">
        <v>1002</v>
      </c>
      <c r="E220" s="14"/>
    </row>
    <row r="222" spans="1:6" ht="13">
      <c r="B222" s="348" t="s">
        <v>987</v>
      </c>
      <c r="C222" s="349"/>
      <c r="D222" s="349"/>
      <c r="E222" s="349"/>
    </row>
    <row r="223" spans="1:6" ht="13">
      <c r="B223" s="14" t="s">
        <v>1468</v>
      </c>
      <c r="C223" s="113">
        <v>3.7169818352481765</v>
      </c>
      <c r="D223" s="238" t="s">
        <v>231</v>
      </c>
      <c r="E223" s="14"/>
    </row>
    <row r="224" spans="1:6" ht="13">
      <c r="B224" s="14" t="s">
        <v>1469</v>
      </c>
      <c r="C224" s="113">
        <v>3.7274777983392955</v>
      </c>
      <c r="D224" s="238" t="s">
        <v>231</v>
      </c>
      <c r="E224" s="14"/>
    </row>
    <row r="225" spans="2:5" ht="13">
      <c r="B225" s="14" t="s">
        <v>1303</v>
      </c>
      <c r="C225" s="113">
        <v>4.2830141305192262</v>
      </c>
      <c r="D225" s="238" t="s">
        <v>231</v>
      </c>
      <c r="E225" s="14"/>
    </row>
    <row r="226" spans="2:5" ht="13">
      <c r="B226" s="14" t="s">
        <v>1296</v>
      </c>
      <c r="C226" s="113">
        <v>4.8385504626991569</v>
      </c>
      <c r="D226" s="238" t="s">
        <v>231</v>
      </c>
      <c r="E226" s="14"/>
    </row>
    <row r="227" spans="2:5" ht="13">
      <c r="B227" s="14" t="s">
        <v>1470</v>
      </c>
      <c r="C227" s="113">
        <v>4.8490464257902763</v>
      </c>
      <c r="D227" s="238" t="s">
        <v>231</v>
      </c>
      <c r="E227" s="14"/>
    </row>
    <row r="228" spans="2:5" ht="13">
      <c r="B228" s="14" t="s">
        <v>1471</v>
      </c>
      <c r="C228" s="113">
        <v>5.3573509240601727</v>
      </c>
      <c r="D228" s="238" t="s">
        <v>231</v>
      </c>
      <c r="E228" s="14"/>
    </row>
    <row r="229" spans="2:5" ht="13">
      <c r="B229" s="14" t="s">
        <v>1472</v>
      </c>
      <c r="C229" s="113">
        <v>5.865655422330069</v>
      </c>
      <c r="D229" s="238" t="s">
        <v>231</v>
      </c>
      <c r="E229" s="14"/>
    </row>
    <row r="230" spans="2:5" ht="13">
      <c r="B230" s="14" t="s">
        <v>1473</v>
      </c>
      <c r="C230" s="113">
        <v>6.3739599205999653</v>
      </c>
      <c r="D230" s="238" t="s">
        <v>231</v>
      </c>
      <c r="E230" s="14"/>
    </row>
    <row r="231" spans="2:5" ht="13">
      <c r="B231" s="14" t="s">
        <v>1474</v>
      </c>
      <c r="C231" s="113">
        <v>7.3905689171397579</v>
      </c>
      <c r="D231" s="238" t="s">
        <v>231</v>
      </c>
      <c r="E231" s="14"/>
    </row>
    <row r="232" spans="2:5" ht="13">
      <c r="B232" s="14" t="s">
        <v>1475</v>
      </c>
      <c r="C232" s="113">
        <v>8.4071779136795506</v>
      </c>
      <c r="D232" s="238" t="s">
        <v>231</v>
      </c>
      <c r="E232" s="14"/>
    </row>
    <row r="233" spans="2:5" ht="13">
      <c r="B233" s="14" t="s">
        <v>411</v>
      </c>
      <c r="C233" s="113">
        <v>8.915482411949446</v>
      </c>
      <c r="D233" s="238" t="s">
        <v>231</v>
      </c>
      <c r="E233" s="14"/>
    </row>
    <row r="235" spans="2:5" ht="13">
      <c r="B235" s="348" t="s">
        <v>988</v>
      </c>
      <c r="C235" s="349"/>
      <c r="D235" s="349"/>
      <c r="E235" s="349"/>
    </row>
    <row r="236" spans="2:5" ht="13">
      <c r="B236" s="14" t="s">
        <v>1297</v>
      </c>
      <c r="C236" s="113">
        <v>3.2507361605076919</v>
      </c>
      <c r="D236" s="238" t="s">
        <v>231</v>
      </c>
      <c r="E236" s="14"/>
    </row>
    <row r="237" spans="2:5" ht="13">
      <c r="B237" s="14" t="s">
        <v>1301</v>
      </c>
      <c r="C237" s="113">
        <v>3.2596577291351427</v>
      </c>
      <c r="D237" s="238" t="s">
        <v>231</v>
      </c>
      <c r="E237" s="14"/>
    </row>
    <row r="238" spans="2:5" ht="13">
      <c r="B238" s="14" t="s">
        <v>1302</v>
      </c>
      <c r="C238" s="113">
        <v>3.7318636114880839</v>
      </c>
      <c r="D238" s="238" t="s">
        <v>231</v>
      </c>
      <c r="E238" s="14"/>
    </row>
    <row r="239" spans="2:5" ht="13">
      <c r="B239" s="14" t="s">
        <v>1476</v>
      </c>
      <c r="C239" s="113">
        <v>4.2040694938410255</v>
      </c>
      <c r="D239" s="238" t="s">
        <v>231</v>
      </c>
      <c r="E239" s="14"/>
    </row>
    <row r="240" spans="2:5" ht="13">
      <c r="B240" s="14" t="s">
        <v>1347</v>
      </c>
      <c r="C240" s="113">
        <v>4.2129910624684763</v>
      </c>
      <c r="D240" s="238" t="s">
        <v>231</v>
      </c>
      <c r="E240" s="14"/>
    </row>
    <row r="241" spans="1:6" ht="13">
      <c r="B241" s="14" t="s">
        <v>1477</v>
      </c>
      <c r="C241" s="113">
        <v>4.6450498859978886</v>
      </c>
      <c r="D241" s="238" t="s">
        <v>231</v>
      </c>
      <c r="E241" s="14"/>
    </row>
    <row r="242" spans="1:6" ht="13">
      <c r="B242" s="14" t="s">
        <v>1478</v>
      </c>
      <c r="C242" s="113">
        <v>5.0771087095273</v>
      </c>
      <c r="D242" s="238" t="s">
        <v>231</v>
      </c>
      <c r="E242" s="14"/>
    </row>
    <row r="243" spans="1:6" ht="13">
      <c r="B243" s="14" t="s">
        <v>1479</v>
      </c>
      <c r="C243" s="113">
        <v>5.5091675330567114</v>
      </c>
      <c r="D243" s="238" t="s">
        <v>231</v>
      </c>
      <c r="E243" s="14"/>
    </row>
    <row r="244" spans="1:6" ht="13">
      <c r="B244" s="14" t="s">
        <v>1480</v>
      </c>
      <c r="C244" s="113">
        <v>6.3732851801155359</v>
      </c>
      <c r="D244" s="238" t="s">
        <v>231</v>
      </c>
      <c r="E244" s="14"/>
    </row>
    <row r="245" spans="1:6" ht="13">
      <c r="B245" s="14" t="s">
        <v>1481</v>
      </c>
      <c r="C245" s="113">
        <v>7.2374028271743587</v>
      </c>
      <c r="D245" s="238" t="s">
        <v>231</v>
      </c>
      <c r="E245" s="14"/>
    </row>
    <row r="246" spans="1:6" ht="13">
      <c r="B246" s="14" t="s">
        <v>1482</v>
      </c>
      <c r="C246" s="113">
        <v>7.6694616507037709</v>
      </c>
      <c r="D246" s="238" t="s">
        <v>231</v>
      </c>
      <c r="E246" s="14"/>
    </row>
    <row r="248" spans="1:6" ht="13">
      <c r="B248" s="348" t="s">
        <v>482</v>
      </c>
      <c r="C248" s="349"/>
      <c r="D248" s="349"/>
      <c r="E248" s="350"/>
    </row>
    <row r="249" spans="1:6" ht="13">
      <c r="A249" s="238">
        <v>5</v>
      </c>
      <c r="B249" s="14" t="s">
        <v>1483</v>
      </c>
      <c r="C249" s="113">
        <v>0.304083044982699</v>
      </c>
      <c r="D249" s="238" t="s">
        <v>993</v>
      </c>
      <c r="E249" s="115"/>
      <c r="F249" s="238">
        <v>2.5</v>
      </c>
    </row>
    <row r="250" spans="1:6" ht="13">
      <c r="A250" s="238">
        <v>10</v>
      </c>
      <c r="B250" s="14" t="s">
        <v>1484</v>
      </c>
      <c r="C250" s="113">
        <v>0.304083044982699</v>
      </c>
      <c r="D250" s="238" t="s">
        <v>993</v>
      </c>
      <c r="E250" s="14"/>
      <c r="F250" s="238">
        <v>7.5</v>
      </c>
    </row>
    <row r="251" spans="1:6" ht="13">
      <c r="A251" s="238">
        <v>15</v>
      </c>
      <c r="B251" s="14" t="s">
        <v>236</v>
      </c>
      <c r="C251" s="113">
        <v>0.17003460207612459</v>
      </c>
      <c r="D251" s="238" t="s">
        <v>993</v>
      </c>
      <c r="E251" s="14"/>
      <c r="F251" s="238">
        <v>12.5</v>
      </c>
    </row>
    <row r="252" spans="1:6" ht="13">
      <c r="A252" s="238">
        <v>20</v>
      </c>
      <c r="B252" s="14" t="s">
        <v>1485</v>
      </c>
      <c r="C252" s="113">
        <v>0.13734717416378317</v>
      </c>
      <c r="D252" s="238" t="s">
        <v>993</v>
      </c>
      <c r="E252" s="14"/>
      <c r="F252" s="238">
        <v>17.5</v>
      </c>
    </row>
    <row r="253" spans="1:6" ht="13">
      <c r="A253" s="238">
        <v>25</v>
      </c>
      <c r="B253" s="14" t="s">
        <v>246</v>
      </c>
      <c r="C253" s="113">
        <v>0.11200692041522493</v>
      </c>
      <c r="D253" s="238" t="s">
        <v>993</v>
      </c>
      <c r="E253" s="14"/>
      <c r="F253" s="238">
        <v>22.5</v>
      </c>
    </row>
    <row r="254" spans="1:6" ht="13">
      <c r="A254" s="238">
        <v>30</v>
      </c>
      <c r="B254" s="14" t="s">
        <v>1486</v>
      </c>
      <c r="C254" s="113">
        <v>0.10400000000000002</v>
      </c>
      <c r="D254" s="238" t="s">
        <v>993</v>
      </c>
      <c r="E254" s="14"/>
      <c r="F254" s="238">
        <v>27.5</v>
      </c>
    </row>
    <row r="255" spans="1:6" ht="13">
      <c r="A255" s="238">
        <v>35</v>
      </c>
      <c r="B255" s="14" t="s">
        <v>1487</v>
      </c>
      <c r="C255" s="113">
        <v>9.8662053056516749E-2</v>
      </c>
      <c r="D255" s="238" t="s">
        <v>993</v>
      </c>
      <c r="E255" s="14"/>
      <c r="F255" s="238">
        <v>32.5</v>
      </c>
    </row>
    <row r="256" spans="1:6" ht="13">
      <c r="A256" s="238">
        <v>40</v>
      </c>
      <c r="B256" s="14" t="s">
        <v>1488</v>
      </c>
      <c r="C256" s="113">
        <v>8.9708353929807236E-2</v>
      </c>
      <c r="D256" s="238" t="s">
        <v>993</v>
      </c>
      <c r="E256" s="14"/>
      <c r="F256" s="238">
        <v>37.5</v>
      </c>
    </row>
    <row r="257" spans="1:6" ht="13">
      <c r="A257" s="238">
        <v>45</v>
      </c>
      <c r="B257" s="14" t="s">
        <v>1489</v>
      </c>
      <c r="C257" s="113">
        <v>8.2993079584775101E-2</v>
      </c>
      <c r="D257" s="238" t="s">
        <v>993</v>
      </c>
      <c r="E257" s="14"/>
      <c r="F257" s="238">
        <v>42.5</v>
      </c>
    </row>
    <row r="258" spans="1:6" ht="13">
      <c r="A258" s="238">
        <v>50</v>
      </c>
      <c r="B258" s="14" t="s">
        <v>1490</v>
      </c>
      <c r="C258" s="113">
        <v>8.1768550557477906E-2</v>
      </c>
      <c r="D258" s="238" t="s">
        <v>993</v>
      </c>
      <c r="E258" s="14"/>
      <c r="F258" s="238">
        <v>47.5</v>
      </c>
    </row>
    <row r="259" spans="1:6" ht="13">
      <c r="A259" s="238">
        <v>60</v>
      </c>
      <c r="B259" s="14" t="s">
        <v>1491</v>
      </c>
      <c r="C259" s="113">
        <v>7.719031141868514E-2</v>
      </c>
      <c r="D259" s="238" t="s">
        <v>993</v>
      </c>
      <c r="E259" s="14"/>
      <c r="F259" s="238">
        <v>55</v>
      </c>
    </row>
    <row r="260" spans="1:6" ht="13">
      <c r="A260" s="238">
        <v>70</v>
      </c>
      <c r="B260" s="14" t="s">
        <v>1492</v>
      </c>
      <c r="C260" s="113">
        <v>7.6320645905421008E-2</v>
      </c>
      <c r="D260" s="238" t="s">
        <v>993</v>
      </c>
      <c r="E260" s="14"/>
      <c r="F260" s="238">
        <v>65</v>
      </c>
    </row>
    <row r="261" spans="1:6" ht="13">
      <c r="A261" s="238">
        <v>80</v>
      </c>
      <c r="B261" s="14" t="s">
        <v>1493</v>
      </c>
      <c r="C261" s="113">
        <v>7.3129016312407327E-2</v>
      </c>
      <c r="D261" s="238" t="s">
        <v>993</v>
      </c>
      <c r="E261" s="14"/>
      <c r="F261" s="238">
        <v>75</v>
      </c>
    </row>
    <row r="262" spans="1:6" ht="13">
      <c r="A262" s="238">
        <v>90</v>
      </c>
      <c r="B262" s="14" t="s">
        <v>1494</v>
      </c>
      <c r="C262" s="113">
        <v>7.0735294117647077E-2</v>
      </c>
      <c r="D262" s="238" t="s">
        <v>993</v>
      </c>
      <c r="E262" s="14"/>
      <c r="F262" s="238">
        <v>85</v>
      </c>
    </row>
    <row r="263" spans="1:6" ht="13">
      <c r="A263" s="238">
        <v>100</v>
      </c>
      <c r="B263" s="14" t="s">
        <v>1495</v>
      </c>
      <c r="C263" s="113">
        <v>7.087274125336411E-2</v>
      </c>
      <c r="D263" s="238" t="s">
        <v>993</v>
      </c>
      <c r="E263" s="14"/>
      <c r="F263" s="238">
        <v>95</v>
      </c>
    </row>
    <row r="264" spans="1:6" ht="13">
      <c r="A264" s="238">
        <v>150</v>
      </c>
      <c r="B264" s="14" t="s">
        <v>1496</v>
      </c>
      <c r="C264" s="113">
        <v>6.3785467128027698E-2</v>
      </c>
      <c r="D264" s="238" t="s">
        <v>993</v>
      </c>
      <c r="E264" s="14"/>
      <c r="F264" s="238">
        <v>125</v>
      </c>
    </row>
    <row r="265" spans="1:6" ht="13">
      <c r="A265" s="238">
        <v>200</v>
      </c>
      <c r="B265" s="14" t="s">
        <v>1497</v>
      </c>
      <c r="C265" s="113">
        <v>5.6986389850057662E-2</v>
      </c>
      <c r="D265" s="238" t="s">
        <v>993</v>
      </c>
      <c r="E265" s="14"/>
      <c r="F265" s="238">
        <v>175</v>
      </c>
    </row>
    <row r="266" spans="1:6" ht="13">
      <c r="A266" s="238">
        <v>250</v>
      </c>
      <c r="B266" s="14" t="s">
        <v>1498</v>
      </c>
      <c r="C266" s="113">
        <v>6.3795847750865053E-2</v>
      </c>
      <c r="D266" s="238" t="s">
        <v>993</v>
      </c>
      <c r="E266" s="14"/>
      <c r="F266" s="238">
        <v>225</v>
      </c>
    </row>
    <row r="267" spans="1:6" ht="13">
      <c r="B267" s="14" t="s">
        <v>1499</v>
      </c>
      <c r="C267" s="113">
        <v>5.8857780853517866E-2</v>
      </c>
      <c r="D267" s="238" t="s">
        <v>993</v>
      </c>
      <c r="E267" s="14"/>
      <c r="F267" s="238">
        <v>250</v>
      </c>
    </row>
    <row r="269" spans="1:6" ht="13">
      <c r="B269" s="348" t="s">
        <v>483</v>
      </c>
      <c r="C269" s="349"/>
      <c r="D269" s="349"/>
      <c r="E269" s="350"/>
    </row>
    <row r="270" spans="1:6" ht="13">
      <c r="A270" s="238">
        <v>5</v>
      </c>
      <c r="B270" s="14" t="s">
        <v>1500</v>
      </c>
      <c r="C270" s="113">
        <v>19.922553191489364</v>
      </c>
      <c r="D270" s="238" t="s">
        <v>967</v>
      </c>
      <c r="E270" s="14"/>
      <c r="F270" s="238">
        <v>2.5</v>
      </c>
    </row>
    <row r="271" spans="1:6" ht="13">
      <c r="A271" s="238">
        <v>10</v>
      </c>
      <c r="B271" s="14" t="s">
        <v>1501</v>
      </c>
      <c r="C271" s="113">
        <v>19.922553191489364</v>
      </c>
      <c r="D271" s="238" t="s">
        <v>967</v>
      </c>
      <c r="E271" s="14"/>
      <c r="F271" s="238">
        <v>7.5</v>
      </c>
    </row>
    <row r="272" spans="1:6" ht="13">
      <c r="A272" s="238">
        <v>15</v>
      </c>
      <c r="B272" s="14" t="s">
        <v>416</v>
      </c>
      <c r="C272" s="113">
        <v>11.966261980830673</v>
      </c>
      <c r="D272" s="238" t="s">
        <v>967</v>
      </c>
      <c r="E272" s="14"/>
      <c r="F272" s="238">
        <v>12.5</v>
      </c>
    </row>
    <row r="273" spans="1:6" ht="13">
      <c r="A273" s="238">
        <v>20</v>
      </c>
      <c r="B273" s="14" t="s">
        <v>281</v>
      </c>
      <c r="C273" s="113">
        <v>8.5512328767123265</v>
      </c>
      <c r="D273" s="238" t="s">
        <v>967</v>
      </c>
      <c r="E273" s="14"/>
      <c r="F273" s="238">
        <v>17.5</v>
      </c>
    </row>
    <row r="274" spans="1:6" ht="13">
      <c r="A274" s="238">
        <v>25</v>
      </c>
      <c r="B274" s="14" t="s">
        <v>1502</v>
      </c>
      <c r="C274" s="113">
        <v>6.6526465364120764</v>
      </c>
      <c r="D274" s="238" t="s">
        <v>967</v>
      </c>
      <c r="E274" s="14"/>
      <c r="F274" s="238">
        <v>22.5</v>
      </c>
    </row>
    <row r="275" spans="1:6" ht="13">
      <c r="A275" s="238">
        <v>30</v>
      </c>
      <c r="B275" s="14" t="s">
        <v>1503</v>
      </c>
      <c r="C275" s="113">
        <v>5.4439534883720917</v>
      </c>
      <c r="D275" s="238" t="s">
        <v>967</v>
      </c>
      <c r="E275" s="14"/>
      <c r="F275" s="238">
        <v>27.5</v>
      </c>
    </row>
    <row r="276" spans="1:6" ht="13">
      <c r="A276" s="238">
        <v>35</v>
      </c>
      <c r="B276" s="14" t="s">
        <v>1504</v>
      </c>
      <c r="C276" s="113">
        <v>3.8391143911439096</v>
      </c>
      <c r="D276" s="238" t="s">
        <v>967</v>
      </c>
      <c r="E276" s="14"/>
      <c r="F276" s="238">
        <v>32.5</v>
      </c>
    </row>
    <row r="277" spans="1:6" ht="13">
      <c r="A277" s="238">
        <v>40</v>
      </c>
      <c r="B277" s="14" t="s">
        <v>1505</v>
      </c>
      <c r="C277" s="113">
        <v>2.8521474261346329</v>
      </c>
      <c r="D277" s="238" t="s">
        <v>967</v>
      </c>
      <c r="E277" s="14"/>
      <c r="F277" s="238">
        <v>37.5</v>
      </c>
    </row>
    <row r="278" spans="1:6" ht="13">
      <c r="A278" s="238">
        <v>45</v>
      </c>
      <c r="B278" s="14" t="s">
        <v>405</v>
      </c>
      <c r="C278" s="113">
        <v>2.6425964252116652</v>
      </c>
      <c r="D278" s="238" t="s">
        <v>967</v>
      </c>
      <c r="E278" s="14"/>
      <c r="F278" s="238">
        <v>42.5</v>
      </c>
    </row>
    <row r="279" spans="1:6" ht="13">
      <c r="A279" s="238">
        <v>50</v>
      </c>
      <c r="B279" s="14" t="s">
        <v>1506</v>
      </c>
      <c r="C279" s="113">
        <v>2.1018181818181816</v>
      </c>
      <c r="D279" s="238" t="s">
        <v>967</v>
      </c>
      <c r="E279" s="14"/>
      <c r="F279" s="238">
        <v>47.5</v>
      </c>
    </row>
    <row r="280" spans="1:6" ht="13">
      <c r="A280" s="238">
        <v>60</v>
      </c>
      <c r="B280" s="14" t="s">
        <v>1507</v>
      </c>
      <c r="C280" s="113">
        <v>1.9968073115003804</v>
      </c>
      <c r="D280" s="238" t="s">
        <v>967</v>
      </c>
      <c r="E280" s="14"/>
      <c r="F280" s="238">
        <v>55</v>
      </c>
    </row>
    <row r="281" spans="1:6" ht="13">
      <c r="A281" s="238">
        <v>70</v>
      </c>
      <c r="B281" s="14" t="s">
        <v>1508</v>
      </c>
      <c r="C281" s="113">
        <v>1.5975431861804217</v>
      </c>
      <c r="D281" s="238" t="s">
        <v>967</v>
      </c>
      <c r="E281" s="14"/>
      <c r="F281" s="238">
        <v>65</v>
      </c>
    </row>
    <row r="282" spans="1:6" ht="13">
      <c r="A282" s="238">
        <v>80</v>
      </c>
      <c r="B282" s="14" t="s">
        <v>1509</v>
      </c>
      <c r="C282" s="113">
        <v>1.4756283980773774</v>
      </c>
      <c r="D282" s="238" t="s">
        <v>967</v>
      </c>
      <c r="E282" s="14"/>
      <c r="F282" s="238">
        <v>75</v>
      </c>
    </row>
    <row r="283" spans="1:6" ht="13">
      <c r="A283" s="238">
        <v>90</v>
      </c>
      <c r="B283" s="14" t="s">
        <v>1510</v>
      </c>
      <c r="C283" s="113">
        <v>1.2481774115365969</v>
      </c>
      <c r="D283" s="238" t="s">
        <v>967</v>
      </c>
      <c r="E283" s="14"/>
      <c r="F283" s="238">
        <v>85</v>
      </c>
    </row>
    <row r="284" spans="1:6" ht="13">
      <c r="A284" s="238">
        <v>100</v>
      </c>
      <c r="B284" s="14" t="s">
        <v>1511</v>
      </c>
      <c r="C284" s="113">
        <v>1.0795330739299611</v>
      </c>
      <c r="D284" s="238" t="s">
        <v>967</v>
      </c>
      <c r="E284" s="14"/>
      <c r="F284" s="238">
        <v>95</v>
      </c>
    </row>
    <row r="285" spans="1:6" ht="13">
      <c r="A285" s="238">
        <v>150</v>
      </c>
      <c r="B285" s="14" t="s">
        <v>1512</v>
      </c>
      <c r="C285" s="113">
        <v>0.94987748731954769</v>
      </c>
      <c r="D285" s="238" t="s">
        <v>967</v>
      </c>
      <c r="E285" s="14"/>
      <c r="F285" s="238">
        <v>125</v>
      </c>
    </row>
    <row r="286" spans="1:6" ht="13">
      <c r="A286" s="238">
        <v>200</v>
      </c>
      <c r="B286" s="14" t="s">
        <v>1513</v>
      </c>
      <c r="C286" s="113">
        <v>0.65485444531864678</v>
      </c>
      <c r="D286" s="238" t="s">
        <v>967</v>
      </c>
      <c r="E286" s="14"/>
      <c r="F286" s="238">
        <v>175</v>
      </c>
    </row>
    <row r="287" spans="1:6" ht="13">
      <c r="A287" s="238">
        <v>250</v>
      </c>
      <c r="B287" s="14" t="s">
        <v>1514</v>
      </c>
      <c r="C287" s="113">
        <v>0.462354335374284</v>
      </c>
      <c r="D287" s="238" t="s">
        <v>967</v>
      </c>
      <c r="E287" s="14"/>
      <c r="F287" s="238">
        <v>225</v>
      </c>
    </row>
    <row r="288" spans="1:6" ht="13">
      <c r="B288" s="14" t="s">
        <v>1515</v>
      </c>
      <c r="C288" s="113">
        <v>0.35597402185965471</v>
      </c>
      <c r="D288" s="238" t="s">
        <v>967</v>
      </c>
      <c r="E288" s="14"/>
      <c r="F288" s="238">
        <v>250</v>
      </c>
    </row>
    <row r="289" spans="1:6" s="214" customFormat="1"/>
    <row r="290" spans="1:6" ht="13">
      <c r="B290" s="348" t="s">
        <v>484</v>
      </c>
      <c r="C290" s="349"/>
      <c r="D290" s="349"/>
      <c r="E290" s="350"/>
    </row>
    <row r="291" spans="1:6" ht="13">
      <c r="A291" s="238">
        <v>5</v>
      </c>
      <c r="B291" s="14" t="s">
        <v>1516</v>
      </c>
      <c r="C291" s="113">
        <v>0.26170489982485362</v>
      </c>
      <c r="D291" s="238" t="s">
        <v>967</v>
      </c>
      <c r="E291" s="14"/>
      <c r="F291" s="238">
        <v>2.5</v>
      </c>
    </row>
    <row r="292" spans="1:6" ht="13">
      <c r="A292" s="238">
        <v>10</v>
      </c>
      <c r="B292" s="14" t="s">
        <v>1517</v>
      </c>
      <c r="C292" s="113">
        <v>0.26170489982485362</v>
      </c>
      <c r="D292" s="238" t="s">
        <v>967</v>
      </c>
      <c r="E292" s="14"/>
      <c r="F292" s="238">
        <v>7.5</v>
      </c>
    </row>
    <row r="293" spans="1:6" ht="13">
      <c r="A293" s="238">
        <v>15</v>
      </c>
      <c r="B293" s="14" t="s">
        <v>1518</v>
      </c>
      <c r="C293" s="113">
        <v>0.24907087017813662</v>
      </c>
      <c r="D293" s="238" t="s">
        <v>967</v>
      </c>
      <c r="E293" s="14"/>
      <c r="F293" s="238">
        <v>12.5</v>
      </c>
    </row>
    <row r="294" spans="1:6" ht="13">
      <c r="A294" s="238">
        <v>20</v>
      </c>
      <c r="B294" s="14" t="s">
        <v>1519</v>
      </c>
      <c r="C294" s="113">
        <v>0.20436851211072668</v>
      </c>
      <c r="D294" s="238" t="s">
        <v>967</v>
      </c>
      <c r="E294" s="14"/>
      <c r="F294" s="238">
        <v>17.5</v>
      </c>
    </row>
    <row r="295" spans="1:6" ht="13">
      <c r="A295" s="238">
        <v>25</v>
      </c>
      <c r="B295" s="14" t="s">
        <v>287</v>
      </c>
      <c r="C295" s="113">
        <v>0.17856380024776791</v>
      </c>
      <c r="D295" s="238" t="s">
        <v>967</v>
      </c>
      <c r="E295" s="14"/>
      <c r="F295" s="238">
        <v>22.5</v>
      </c>
    </row>
    <row r="296" spans="1:6" ht="13">
      <c r="A296" s="238">
        <v>30</v>
      </c>
      <c r="B296" s="14" t="s">
        <v>1520</v>
      </c>
      <c r="C296" s="113">
        <v>0.17714340638216078</v>
      </c>
      <c r="D296" s="238" t="s">
        <v>967</v>
      </c>
      <c r="E296" s="14"/>
      <c r="F296" s="238">
        <v>27.5</v>
      </c>
    </row>
    <row r="297" spans="1:6" ht="13">
      <c r="A297" s="238">
        <v>35</v>
      </c>
      <c r="B297" s="14" t="s">
        <v>1521</v>
      </c>
      <c r="C297" s="113">
        <v>0.16084789873717209</v>
      </c>
      <c r="D297" s="238" t="s">
        <v>967</v>
      </c>
      <c r="E297" s="14"/>
      <c r="F297" s="238">
        <v>32.5</v>
      </c>
    </row>
    <row r="298" spans="1:6" ht="13">
      <c r="A298" s="238">
        <v>40</v>
      </c>
      <c r="B298" s="14" t="s">
        <v>1522</v>
      </c>
      <c r="C298" s="113">
        <v>0.14929697369143735</v>
      </c>
      <c r="D298" s="238" t="s">
        <v>967</v>
      </c>
      <c r="E298" s="14"/>
      <c r="F298" s="238">
        <v>37.5</v>
      </c>
    </row>
    <row r="299" spans="1:6" ht="13">
      <c r="A299" s="238">
        <v>45</v>
      </c>
      <c r="B299" s="14" t="s">
        <v>1523</v>
      </c>
      <c r="C299" s="113">
        <v>0.1538391951581449</v>
      </c>
      <c r="D299" s="238" t="s">
        <v>967</v>
      </c>
      <c r="E299" s="14"/>
      <c r="F299" s="238">
        <v>42.5</v>
      </c>
    </row>
    <row r="300" spans="1:6" ht="13">
      <c r="A300" s="238">
        <v>50</v>
      </c>
      <c r="B300" s="14" t="s">
        <v>1524</v>
      </c>
      <c r="C300" s="113">
        <v>0.14412472935510637</v>
      </c>
      <c r="D300" s="238" t="s">
        <v>967</v>
      </c>
      <c r="E300" s="14"/>
      <c r="F300" s="238">
        <v>47.5</v>
      </c>
    </row>
    <row r="301" spans="1:6" ht="13">
      <c r="A301" s="238">
        <v>60</v>
      </c>
      <c r="B301" s="14" t="s">
        <v>1525</v>
      </c>
      <c r="C301" s="113">
        <v>0.13368437838593553</v>
      </c>
      <c r="D301" s="238" t="s">
        <v>967</v>
      </c>
      <c r="E301" s="14"/>
      <c r="F301" s="238">
        <v>55</v>
      </c>
    </row>
    <row r="302" spans="1:6" ht="13">
      <c r="A302" s="238">
        <v>70</v>
      </c>
      <c r="B302" s="14" t="s">
        <v>1526</v>
      </c>
      <c r="C302" s="113">
        <v>0.12336970987490017</v>
      </c>
      <c r="D302" s="238" t="s">
        <v>967</v>
      </c>
      <c r="E302" s="14"/>
      <c r="F302" s="238">
        <v>65</v>
      </c>
    </row>
    <row r="303" spans="1:6" ht="13">
      <c r="A303" s="238">
        <v>80</v>
      </c>
      <c r="B303" s="14" t="s">
        <v>1527</v>
      </c>
      <c r="C303" s="113">
        <v>0.11805660030423082</v>
      </c>
      <c r="D303" s="238" t="s">
        <v>967</v>
      </c>
      <c r="E303" s="14"/>
      <c r="F303" s="238">
        <v>75</v>
      </c>
    </row>
    <row r="304" spans="1:6" ht="13">
      <c r="A304" s="238">
        <v>90</v>
      </c>
      <c r="B304" s="14" t="s">
        <v>1528</v>
      </c>
      <c r="C304" s="113">
        <v>0.11394416696676009</v>
      </c>
      <c r="D304" s="238" t="s">
        <v>967</v>
      </c>
      <c r="E304" s="14"/>
      <c r="F304" s="238">
        <v>85</v>
      </c>
    </row>
    <row r="305" spans="1:6" ht="13">
      <c r="A305" s="238">
        <v>100</v>
      </c>
      <c r="B305" s="14" t="s">
        <v>1529</v>
      </c>
      <c r="C305" s="113">
        <v>0.11174671106832823</v>
      </c>
      <c r="D305" s="238" t="s">
        <v>967</v>
      </c>
      <c r="E305" s="14"/>
      <c r="F305" s="238">
        <v>95</v>
      </c>
    </row>
    <row r="306" spans="1:6" ht="13">
      <c r="A306" s="238">
        <v>150</v>
      </c>
      <c r="B306" s="14" t="s">
        <v>1530</v>
      </c>
      <c r="C306" s="113">
        <v>0.12034931619706705</v>
      </c>
      <c r="D306" s="238" t="s">
        <v>967</v>
      </c>
      <c r="E306" s="14"/>
      <c r="F306" s="238">
        <v>125</v>
      </c>
    </row>
    <row r="307" spans="1:6" ht="13">
      <c r="A307" s="238">
        <v>200</v>
      </c>
      <c r="B307" s="14" t="s">
        <v>1531</v>
      </c>
      <c r="C307" s="113">
        <v>0.11902515016701867</v>
      </c>
      <c r="D307" s="238" t="s">
        <v>967</v>
      </c>
      <c r="E307" s="14"/>
      <c r="F307" s="238">
        <v>175</v>
      </c>
    </row>
    <row r="308" spans="1:6" ht="13">
      <c r="A308" s="238">
        <v>250</v>
      </c>
      <c r="B308" s="14" t="s">
        <v>1532</v>
      </c>
      <c r="C308" s="113">
        <v>0.11418044341919777</v>
      </c>
      <c r="D308" s="238" t="s">
        <v>967</v>
      </c>
      <c r="E308" s="14"/>
      <c r="F308" s="238">
        <v>225</v>
      </c>
    </row>
    <row r="309" spans="1:6" ht="13">
      <c r="B309" s="14" t="s">
        <v>1533</v>
      </c>
      <c r="C309" s="113">
        <v>0.11897654748173778</v>
      </c>
      <c r="D309" s="238" t="s">
        <v>967</v>
      </c>
      <c r="E309" s="14"/>
      <c r="F309" s="238">
        <v>250</v>
      </c>
    </row>
    <row r="310" spans="1:6" s="214" customFormat="1"/>
    <row r="311" spans="1:6" ht="13">
      <c r="B311" s="348" t="s">
        <v>485</v>
      </c>
      <c r="C311" s="349" t="s">
        <v>486</v>
      </c>
      <c r="D311" s="349"/>
      <c r="E311" s="350"/>
    </row>
    <row r="312" spans="1:6" ht="13">
      <c r="A312" s="238">
        <v>5</v>
      </c>
      <c r="B312" s="14" t="s">
        <v>1534</v>
      </c>
      <c r="C312" s="113">
        <v>1.7948515807791263</v>
      </c>
      <c r="D312" s="238" t="s">
        <v>994</v>
      </c>
      <c r="E312" s="14"/>
      <c r="F312" s="238">
        <v>2.5</v>
      </c>
    </row>
    <row r="313" spans="1:6" ht="13">
      <c r="A313" s="238">
        <v>10</v>
      </c>
      <c r="B313" s="14" t="s">
        <v>1535</v>
      </c>
      <c r="C313" s="113">
        <v>1.7948515807791263</v>
      </c>
      <c r="D313" s="238" t="s">
        <v>994</v>
      </c>
      <c r="E313" s="14"/>
      <c r="F313" s="238">
        <v>7.5</v>
      </c>
    </row>
    <row r="314" spans="1:6" ht="13">
      <c r="A314" s="238">
        <v>15</v>
      </c>
      <c r="B314" s="14" t="s">
        <v>355</v>
      </c>
      <c r="C314" s="113">
        <v>0.67572827863921725</v>
      </c>
      <c r="D314" s="238" t="s">
        <v>994</v>
      </c>
      <c r="E314" s="14"/>
      <c r="F314" s="238">
        <v>12.5</v>
      </c>
    </row>
    <row r="315" spans="1:6" ht="13">
      <c r="A315" s="238">
        <v>20</v>
      </c>
      <c r="B315" s="14" t="s">
        <v>1536</v>
      </c>
      <c r="C315" s="113">
        <v>0.30076528388805651</v>
      </c>
      <c r="D315" s="238" t="s">
        <v>994</v>
      </c>
      <c r="E315" s="14"/>
      <c r="F315" s="238">
        <v>17.5</v>
      </c>
    </row>
    <row r="316" spans="1:6" ht="13">
      <c r="A316" s="238">
        <v>25</v>
      </c>
      <c r="B316" s="14" t="s">
        <v>1537</v>
      </c>
      <c r="C316" s="113">
        <v>0.19815516872465272</v>
      </c>
      <c r="D316" s="238" t="s">
        <v>994</v>
      </c>
      <c r="E316" s="14"/>
      <c r="F316" s="238">
        <v>22.5</v>
      </c>
    </row>
    <row r="317" spans="1:6" ht="13">
      <c r="A317" s="238">
        <v>30</v>
      </c>
      <c r="B317" s="14" t="s">
        <v>1538</v>
      </c>
      <c r="C317" s="113">
        <v>0.12577365240108077</v>
      </c>
      <c r="D317" s="238" t="s">
        <v>994</v>
      </c>
      <c r="E317" s="14"/>
      <c r="F317" s="238">
        <v>27.5</v>
      </c>
    </row>
    <row r="318" spans="1:6" ht="13">
      <c r="A318" s="238">
        <v>35</v>
      </c>
      <c r="B318" s="14" t="s">
        <v>1539</v>
      </c>
      <c r="C318" s="113">
        <v>9.1264548378985927E-2</v>
      </c>
      <c r="D318" s="238" t="s">
        <v>994</v>
      </c>
      <c r="E318" s="14"/>
      <c r="F318" s="238">
        <v>32.5</v>
      </c>
    </row>
    <row r="319" spans="1:6" ht="13">
      <c r="A319" s="238">
        <v>40</v>
      </c>
      <c r="B319" s="14" t="s">
        <v>1540</v>
      </c>
      <c r="C319" s="113">
        <v>7.3523367977958831E-2</v>
      </c>
      <c r="D319" s="238" t="s">
        <v>994</v>
      </c>
      <c r="E319" s="14"/>
      <c r="F319" s="238">
        <v>37.5</v>
      </c>
    </row>
    <row r="320" spans="1:6" ht="13">
      <c r="A320" s="238">
        <v>45</v>
      </c>
      <c r="B320" s="14" t="s">
        <v>1541</v>
      </c>
      <c r="C320" s="113">
        <v>6.0887201485719536E-2</v>
      </c>
      <c r="D320" s="238" t="s">
        <v>994</v>
      </c>
      <c r="E320" s="14"/>
      <c r="F320" s="238">
        <v>42.5</v>
      </c>
    </row>
    <row r="321" spans="1:6" ht="13">
      <c r="A321" s="238">
        <v>50</v>
      </c>
      <c r="B321" s="14" t="s">
        <v>1542</v>
      </c>
      <c r="C321" s="113">
        <v>4.7891599513298924E-2</v>
      </c>
      <c r="D321" s="238" t="s">
        <v>994</v>
      </c>
      <c r="E321" s="14"/>
      <c r="F321" s="238">
        <v>47.5</v>
      </c>
    </row>
    <row r="322" spans="1:6" ht="13">
      <c r="A322" s="238">
        <v>60</v>
      </c>
      <c r="B322" s="14" t="s">
        <v>1543</v>
      </c>
      <c r="C322" s="113">
        <v>4.1435371961726419E-2</v>
      </c>
      <c r="D322" s="238" t="s">
        <v>994</v>
      </c>
      <c r="E322" s="14"/>
      <c r="F322" s="238">
        <v>55</v>
      </c>
    </row>
    <row r="323" spans="1:6" ht="13">
      <c r="A323" s="238">
        <v>70</v>
      </c>
      <c r="B323" s="14" t="s">
        <v>1544</v>
      </c>
      <c r="C323" s="113">
        <v>2.94952310025581E-2</v>
      </c>
      <c r="D323" s="238" t="s">
        <v>994</v>
      </c>
      <c r="E323" s="14"/>
      <c r="F323" s="238">
        <v>65</v>
      </c>
    </row>
    <row r="324" spans="1:6" ht="13">
      <c r="A324" s="238">
        <v>80</v>
      </c>
      <c r="B324" s="14" t="s">
        <v>1545</v>
      </c>
      <c r="C324" s="113">
        <v>2.2967846184714757E-2</v>
      </c>
      <c r="D324" s="238" t="s">
        <v>994</v>
      </c>
      <c r="E324" s="14"/>
      <c r="F324" s="238">
        <v>75</v>
      </c>
    </row>
    <row r="325" spans="1:6" ht="13">
      <c r="A325" s="238">
        <v>90</v>
      </c>
      <c r="B325" s="14" t="s">
        <v>1546</v>
      </c>
      <c r="C325" s="113">
        <v>1.8560403199458744E-2</v>
      </c>
      <c r="D325" s="238" t="s">
        <v>994</v>
      </c>
      <c r="E325" s="14"/>
      <c r="F325" s="238">
        <v>85</v>
      </c>
    </row>
    <row r="326" spans="1:6" ht="13">
      <c r="A326" s="238">
        <v>100</v>
      </c>
      <c r="B326" s="14" t="s">
        <v>1547</v>
      </c>
      <c r="C326" s="113">
        <v>1.4890067087907495E-2</v>
      </c>
      <c r="D326" s="238" t="s">
        <v>994</v>
      </c>
      <c r="E326" s="14"/>
      <c r="F326" s="238">
        <v>95</v>
      </c>
    </row>
    <row r="327" spans="1:6" ht="13">
      <c r="A327" s="238">
        <v>150</v>
      </c>
      <c r="B327" s="14" t="s">
        <v>1548</v>
      </c>
      <c r="C327" s="113">
        <v>1.4018453404712904E-2</v>
      </c>
      <c r="D327" s="238" t="s">
        <v>994</v>
      </c>
      <c r="E327" s="14"/>
      <c r="F327" s="238">
        <v>125</v>
      </c>
    </row>
    <row r="328" spans="1:6" ht="13">
      <c r="A328" s="238">
        <v>200</v>
      </c>
      <c r="B328" s="14" t="s">
        <v>1549</v>
      </c>
      <c r="C328" s="113">
        <v>1.1567663267058353E-2</v>
      </c>
      <c r="D328" s="238" t="s">
        <v>994</v>
      </c>
      <c r="E328" s="14"/>
      <c r="F328" s="238">
        <v>175</v>
      </c>
    </row>
    <row r="329" spans="1:6" ht="13">
      <c r="A329" s="238">
        <v>250</v>
      </c>
      <c r="B329" s="14" t="s">
        <v>1550</v>
      </c>
      <c r="C329" s="113">
        <v>7.5721438727529592E-3</v>
      </c>
      <c r="D329" s="238" t="s">
        <v>994</v>
      </c>
      <c r="E329" s="14"/>
      <c r="F329" s="238">
        <v>225</v>
      </c>
    </row>
    <row r="330" spans="1:6" ht="13">
      <c r="B330" s="14" t="s">
        <v>1551</v>
      </c>
      <c r="C330" s="113">
        <v>5.5388190106317077E-3</v>
      </c>
      <c r="D330" s="238" t="s">
        <v>994</v>
      </c>
      <c r="E330" s="14"/>
      <c r="F330" s="238">
        <v>250</v>
      </c>
    </row>
    <row r="331" spans="1:6" s="214" customFormat="1"/>
    <row r="332" spans="1:6" ht="13">
      <c r="B332" s="348" t="s">
        <v>487</v>
      </c>
      <c r="C332" s="349"/>
      <c r="D332" s="349"/>
      <c r="E332" s="350"/>
    </row>
    <row r="333" spans="1:6" ht="13">
      <c r="A333" s="238">
        <v>5</v>
      </c>
      <c r="B333" s="14" t="s">
        <v>1552</v>
      </c>
      <c r="C333" s="113">
        <v>412.29527104959635</v>
      </c>
      <c r="D333" s="238" t="s">
        <v>995</v>
      </c>
      <c r="E333" s="14"/>
      <c r="F333" s="238">
        <v>2.5</v>
      </c>
    </row>
    <row r="334" spans="1:6" ht="13">
      <c r="A334" s="238">
        <v>10</v>
      </c>
      <c r="B334" s="14" t="s">
        <v>455</v>
      </c>
      <c r="C334" s="113">
        <v>412.29527104959635</v>
      </c>
      <c r="D334" s="238" t="s">
        <v>995</v>
      </c>
      <c r="E334" s="14"/>
      <c r="F334" s="238">
        <v>7.5</v>
      </c>
    </row>
    <row r="335" spans="1:6" ht="13">
      <c r="A335" s="238">
        <v>15</v>
      </c>
      <c r="B335" s="14" t="s">
        <v>448</v>
      </c>
      <c r="C335" s="113">
        <v>217.63783160322956</v>
      </c>
      <c r="D335" s="238" t="s">
        <v>995</v>
      </c>
      <c r="E335" s="14"/>
      <c r="F335" s="238">
        <v>12.5</v>
      </c>
    </row>
    <row r="336" spans="1:6" ht="13">
      <c r="A336" s="238">
        <v>20</v>
      </c>
      <c r="B336" s="14" t="s">
        <v>1206</v>
      </c>
      <c r="C336" s="113">
        <v>152.75201845444062</v>
      </c>
      <c r="D336" s="238" t="s">
        <v>995</v>
      </c>
      <c r="E336" s="14"/>
      <c r="F336" s="238">
        <v>17.5</v>
      </c>
    </row>
    <row r="337" spans="1:6" ht="13">
      <c r="A337" s="238">
        <v>25</v>
      </c>
      <c r="B337" s="14" t="s">
        <v>1553</v>
      </c>
      <c r="C337" s="113">
        <v>120.30911188004616</v>
      </c>
      <c r="D337" s="238" t="s">
        <v>995</v>
      </c>
      <c r="E337" s="14"/>
      <c r="F337" s="238">
        <v>22.5</v>
      </c>
    </row>
    <row r="338" spans="1:6" ht="13">
      <c r="A338" s="238">
        <v>30</v>
      </c>
      <c r="B338" s="14" t="s">
        <v>1101</v>
      </c>
      <c r="C338" s="113">
        <v>100.84336793540946</v>
      </c>
      <c r="D338" s="238" t="s">
        <v>995</v>
      </c>
      <c r="E338" s="14"/>
      <c r="F338" s="238">
        <v>27.5</v>
      </c>
    </row>
    <row r="339" spans="1:6" ht="13">
      <c r="A339" s="238">
        <v>35</v>
      </c>
      <c r="B339" s="14" t="s">
        <v>1554</v>
      </c>
      <c r="C339" s="113">
        <v>87.866205305651675</v>
      </c>
      <c r="D339" s="238" t="s">
        <v>995</v>
      </c>
      <c r="E339" s="14"/>
      <c r="F339" s="238">
        <v>32.5</v>
      </c>
    </row>
    <row r="340" spans="1:6" ht="13">
      <c r="A340" s="238">
        <v>40</v>
      </c>
      <c r="B340" s="14" t="s">
        <v>1555</v>
      </c>
      <c r="C340" s="113">
        <v>78.596803427253278</v>
      </c>
      <c r="D340" s="238" t="s">
        <v>995</v>
      </c>
      <c r="E340" s="14"/>
      <c r="F340" s="238">
        <v>37.5</v>
      </c>
    </row>
    <row r="341" spans="1:6" ht="13">
      <c r="A341" s="238">
        <v>45</v>
      </c>
      <c r="B341" s="14" t="s">
        <v>1556</v>
      </c>
      <c r="C341" s="113">
        <v>71.644752018454454</v>
      </c>
      <c r="D341" s="238" t="s">
        <v>995</v>
      </c>
      <c r="E341" s="14"/>
      <c r="F341" s="238">
        <v>42.5</v>
      </c>
    </row>
    <row r="342" spans="1:6" ht="13">
      <c r="A342" s="238">
        <v>50</v>
      </c>
      <c r="B342" s="14" t="s">
        <v>1557</v>
      </c>
      <c r="C342" s="113">
        <v>66.237600922722038</v>
      </c>
      <c r="D342" s="238" t="s">
        <v>995</v>
      </c>
      <c r="E342" s="14"/>
      <c r="F342" s="238">
        <v>47.5</v>
      </c>
    </row>
    <row r="343" spans="1:6" ht="13">
      <c r="A343" s="238">
        <v>60</v>
      </c>
      <c r="B343" s="14" t="s">
        <v>1558</v>
      </c>
      <c r="C343" s="113">
        <v>61.911880046136112</v>
      </c>
      <c r="D343" s="238" t="s">
        <v>995</v>
      </c>
      <c r="E343" s="14"/>
      <c r="F343" s="238">
        <v>55</v>
      </c>
    </row>
    <row r="344" spans="1:6" ht="13">
      <c r="A344" s="238">
        <v>70</v>
      </c>
      <c r="B344" s="14" t="s">
        <v>1559</v>
      </c>
      <c r="C344" s="113">
        <v>55.423298731257212</v>
      </c>
      <c r="D344" s="238" t="s">
        <v>995</v>
      </c>
      <c r="E344" s="14"/>
      <c r="F344" s="238">
        <v>65</v>
      </c>
    </row>
    <row r="345" spans="1:6" ht="13">
      <c r="A345" s="238">
        <v>80</v>
      </c>
      <c r="B345" s="14" t="s">
        <v>1560</v>
      </c>
      <c r="C345" s="113">
        <v>50.788597792057999</v>
      </c>
      <c r="D345" s="238" t="s">
        <v>995</v>
      </c>
      <c r="E345" s="14"/>
      <c r="F345" s="238">
        <v>75</v>
      </c>
    </row>
    <row r="346" spans="1:6" ht="13">
      <c r="A346" s="238">
        <v>90</v>
      </c>
      <c r="B346" s="14" t="s">
        <v>1561</v>
      </c>
      <c r="C346" s="113">
        <v>47.312572087658602</v>
      </c>
      <c r="D346" s="238" t="s">
        <v>995</v>
      </c>
      <c r="E346" s="14"/>
      <c r="F346" s="238">
        <v>85</v>
      </c>
    </row>
    <row r="347" spans="1:6" ht="13">
      <c r="A347" s="238">
        <v>100</v>
      </c>
      <c r="B347" s="14" t="s">
        <v>1562</v>
      </c>
      <c r="C347" s="113">
        <v>44.6089965397924</v>
      </c>
      <c r="D347" s="238" t="s">
        <v>995</v>
      </c>
      <c r="E347" s="14"/>
      <c r="F347" s="238">
        <v>95</v>
      </c>
    </row>
    <row r="348" spans="1:6" ht="13">
      <c r="A348" s="238">
        <v>150</v>
      </c>
      <c r="B348" s="14" t="s">
        <v>1563</v>
      </c>
      <c r="C348" s="113">
        <v>42.446136101499427</v>
      </c>
      <c r="D348" s="238" t="s">
        <v>995</v>
      </c>
      <c r="E348" s="14"/>
      <c r="F348" s="238">
        <v>125</v>
      </c>
    </row>
    <row r="349" spans="1:6" ht="13">
      <c r="A349" s="238">
        <v>200</v>
      </c>
      <c r="B349" s="14" t="s">
        <v>1564</v>
      </c>
      <c r="C349" s="113">
        <v>35.957554786620541</v>
      </c>
      <c r="D349" s="238" t="s">
        <v>995</v>
      </c>
      <c r="E349" s="14"/>
      <c r="F349" s="238">
        <v>175</v>
      </c>
    </row>
    <row r="350" spans="1:6" ht="13">
      <c r="A350" s="238">
        <v>250</v>
      </c>
      <c r="B350" s="14" t="s">
        <v>1565</v>
      </c>
      <c r="C350" s="113">
        <v>32.713264129181091</v>
      </c>
      <c r="D350" s="238" t="s">
        <v>995</v>
      </c>
      <c r="E350" s="14"/>
      <c r="F350" s="238">
        <v>225</v>
      </c>
    </row>
    <row r="351" spans="1:6" ht="13">
      <c r="B351" s="14" t="s">
        <v>1566</v>
      </c>
      <c r="C351" s="113">
        <v>30.766689734717424</v>
      </c>
      <c r="D351" s="238" t="s">
        <v>995</v>
      </c>
      <c r="E351" s="14"/>
      <c r="F351" s="238">
        <v>250</v>
      </c>
    </row>
    <row r="353" spans="2:5" ht="13">
      <c r="B353" s="348" t="s">
        <v>488</v>
      </c>
      <c r="C353" s="349"/>
      <c r="D353" s="349"/>
      <c r="E353" s="349"/>
    </row>
    <row r="354" spans="2:5" ht="13">
      <c r="B354" s="14" t="s">
        <v>979</v>
      </c>
      <c r="C354" s="35">
        <v>25952.834322525701</v>
      </c>
      <c r="D354" s="238" t="s">
        <v>983</v>
      </c>
      <c r="E354" s="14"/>
    </row>
    <row r="355" spans="2:5" ht="13">
      <c r="B355" s="14" t="s">
        <v>980</v>
      </c>
      <c r="C355" s="35">
        <v>4583.4674525698738</v>
      </c>
      <c r="D355" s="238" t="s">
        <v>983</v>
      </c>
      <c r="E355" s="14"/>
    </row>
    <row r="357" spans="2:5" ht="13">
      <c r="B357" s="348" t="s">
        <v>294</v>
      </c>
      <c r="C357" s="349"/>
      <c r="D357" s="349"/>
      <c r="E357" s="349"/>
    </row>
    <row r="358" spans="2:5" ht="13">
      <c r="B358" s="114" t="s">
        <v>297</v>
      </c>
      <c r="C358" s="35">
        <v>38000</v>
      </c>
      <c r="D358" s="238" t="s">
        <v>296</v>
      </c>
      <c r="E358" s="14"/>
    </row>
    <row r="359" spans="2:5" ht="13">
      <c r="B359" s="114" t="s">
        <v>1567</v>
      </c>
      <c r="C359" s="35">
        <v>69000</v>
      </c>
      <c r="D359" s="238" t="s">
        <v>296</v>
      </c>
      <c r="E359" s="14"/>
    </row>
    <row r="360" spans="2:5" ht="13">
      <c r="B360" s="114" t="s">
        <v>1568</v>
      </c>
      <c r="C360" s="35">
        <v>131000</v>
      </c>
      <c r="D360" s="238" t="s">
        <v>296</v>
      </c>
      <c r="E360" s="14"/>
    </row>
    <row r="361" spans="2:5" ht="13">
      <c r="B361" s="114" t="s">
        <v>1569</v>
      </c>
      <c r="C361" s="35">
        <v>161000</v>
      </c>
      <c r="D361" s="238" t="s">
        <v>296</v>
      </c>
      <c r="E361" s="14"/>
    </row>
    <row r="362" spans="2:5" ht="13">
      <c r="B362" s="114" t="s">
        <v>419</v>
      </c>
      <c r="C362" s="35">
        <v>79000</v>
      </c>
      <c r="D362" s="238" t="s">
        <v>296</v>
      </c>
      <c r="E362" s="14"/>
    </row>
    <row r="363" spans="2:5" ht="13">
      <c r="B363" s="114" t="s">
        <v>1570</v>
      </c>
      <c r="C363" s="35">
        <v>145000</v>
      </c>
      <c r="D363" s="238" t="s">
        <v>296</v>
      </c>
      <c r="E363" s="14"/>
    </row>
    <row r="364" spans="2:5" ht="13">
      <c r="B364" s="114" t="s">
        <v>1571</v>
      </c>
      <c r="C364" s="35">
        <v>275000</v>
      </c>
      <c r="D364" s="238" t="s">
        <v>296</v>
      </c>
      <c r="E364" s="14"/>
    </row>
    <row r="365" spans="2:5" ht="13">
      <c r="B365" s="114" t="s">
        <v>1572</v>
      </c>
      <c r="C365" s="35">
        <v>338000</v>
      </c>
      <c r="D365" s="238" t="s">
        <v>296</v>
      </c>
      <c r="E365" s="14"/>
    </row>
    <row r="366" spans="2:5" ht="13">
      <c r="B366" s="114" t="s">
        <v>1310</v>
      </c>
      <c r="C366" s="35">
        <v>62000</v>
      </c>
      <c r="D366" s="238" t="s">
        <v>296</v>
      </c>
      <c r="E366" s="14"/>
    </row>
    <row r="367" spans="2:5" ht="13">
      <c r="B367" s="114" t="s">
        <v>1573</v>
      </c>
      <c r="C367" s="35">
        <v>113000</v>
      </c>
      <c r="D367" s="238" t="s">
        <v>296</v>
      </c>
      <c r="E367" s="14"/>
    </row>
    <row r="368" spans="2:5" ht="13">
      <c r="B368" s="114" t="s">
        <v>1574</v>
      </c>
      <c r="C368" s="35">
        <v>214000</v>
      </c>
      <c r="D368" s="238" t="s">
        <v>296</v>
      </c>
      <c r="E368" s="14"/>
    </row>
    <row r="369" spans="2:5" ht="13">
      <c r="B369" s="114" t="s">
        <v>1575</v>
      </c>
      <c r="C369" s="35">
        <v>263000</v>
      </c>
      <c r="D369" s="238" t="s">
        <v>296</v>
      </c>
      <c r="E369" s="14"/>
    </row>
    <row r="370" spans="2:5" ht="13">
      <c r="B370" s="114" t="s">
        <v>299</v>
      </c>
      <c r="C370" s="35">
        <v>38000</v>
      </c>
      <c r="D370" s="238" t="s">
        <v>296</v>
      </c>
      <c r="E370" s="14"/>
    </row>
    <row r="371" spans="2:5" ht="13">
      <c r="B371" s="114" t="s">
        <v>460</v>
      </c>
      <c r="C371" s="35">
        <v>69000</v>
      </c>
      <c r="D371" s="238" t="s">
        <v>296</v>
      </c>
      <c r="E371" s="14"/>
    </row>
    <row r="372" spans="2:5" ht="13">
      <c r="B372" s="114" t="s">
        <v>1576</v>
      </c>
      <c r="C372" s="35">
        <v>131000</v>
      </c>
      <c r="D372" s="238" t="s">
        <v>296</v>
      </c>
      <c r="E372" s="14"/>
    </row>
    <row r="373" spans="2:5" ht="13">
      <c r="B373" s="114" t="s">
        <v>1577</v>
      </c>
      <c r="C373" s="35">
        <v>161000</v>
      </c>
      <c r="D373" s="238" t="s">
        <v>296</v>
      </c>
      <c r="E373" s="14"/>
    </row>
    <row r="374" spans="2:5" ht="13">
      <c r="B374" s="114" t="s">
        <v>301</v>
      </c>
      <c r="C374" s="35">
        <v>61000</v>
      </c>
      <c r="D374" s="238" t="s">
        <v>296</v>
      </c>
      <c r="E374" s="14"/>
    </row>
    <row r="375" spans="2:5" ht="13">
      <c r="B375" s="114" t="s">
        <v>461</v>
      </c>
      <c r="C375" s="35">
        <v>111000</v>
      </c>
      <c r="D375" s="238" t="s">
        <v>296</v>
      </c>
      <c r="E375" s="14"/>
    </row>
    <row r="376" spans="2:5" ht="13">
      <c r="B376" s="114" t="s">
        <v>1578</v>
      </c>
      <c r="C376" s="35">
        <v>211000</v>
      </c>
      <c r="D376" s="238" t="s">
        <v>296</v>
      </c>
      <c r="E376" s="14"/>
    </row>
    <row r="377" spans="2:5" ht="13">
      <c r="B377" s="114" t="s">
        <v>1579</v>
      </c>
      <c r="C377" s="35">
        <v>259000</v>
      </c>
      <c r="D377" s="238" t="s">
        <v>296</v>
      </c>
      <c r="E377" s="14"/>
    </row>
    <row r="379" spans="2:5" ht="13">
      <c r="B379" s="348" t="s">
        <v>108</v>
      </c>
      <c r="C379" s="349"/>
      <c r="D379" s="349"/>
      <c r="E379" s="349"/>
    </row>
    <row r="380" spans="2:5" ht="13">
      <c r="B380" s="14" t="s">
        <v>108</v>
      </c>
      <c r="C380" s="35">
        <v>18576.11892137249</v>
      </c>
      <c r="D380" s="238" t="s">
        <v>977</v>
      </c>
      <c r="E380" s="14"/>
    </row>
    <row r="382" spans="2:5" ht="13">
      <c r="B382" s="348" t="s">
        <v>472</v>
      </c>
      <c r="C382" s="349"/>
      <c r="D382" s="349"/>
      <c r="E382" s="349"/>
    </row>
    <row r="383" spans="2:5" ht="13">
      <c r="B383" s="14" t="s">
        <v>253</v>
      </c>
      <c r="C383" s="113">
        <v>3009.8329628478778</v>
      </c>
      <c r="D383" s="238" t="s">
        <v>1002</v>
      </c>
      <c r="E383" s="14"/>
    </row>
    <row r="384" spans="2:5" ht="13">
      <c r="B384" s="14" t="s">
        <v>997</v>
      </c>
      <c r="C384" s="113">
        <v>2962.4551219813043</v>
      </c>
      <c r="D384" s="238" t="s">
        <v>1002</v>
      </c>
      <c r="E384" s="14"/>
    </row>
    <row r="385" spans="1:5" ht="13">
      <c r="B385" s="14" t="s">
        <v>998</v>
      </c>
      <c r="C385" s="113">
        <v>4199.8329628478778</v>
      </c>
      <c r="D385" s="238" t="s">
        <v>1002</v>
      </c>
      <c r="E385" s="14"/>
    </row>
    <row r="386" spans="1:5" ht="13">
      <c r="B386" s="14" t="s">
        <v>999</v>
      </c>
      <c r="C386" s="113">
        <v>4152.4551219813047</v>
      </c>
      <c r="D386" s="238" t="s">
        <v>1002</v>
      </c>
      <c r="E386" s="14"/>
    </row>
    <row r="387" spans="1:5" ht="13">
      <c r="B387" s="14" t="s">
        <v>1000</v>
      </c>
      <c r="C387" s="113">
        <v>1059.0199824426679</v>
      </c>
      <c r="D387" s="238" t="s">
        <v>1002</v>
      </c>
      <c r="E387" s="14"/>
    </row>
    <row r="388" spans="1:5" ht="13">
      <c r="B388" s="14" t="s">
        <v>1001</v>
      </c>
      <c r="C388" s="113">
        <v>3514.5978980564605</v>
      </c>
      <c r="D388" s="238" t="s">
        <v>1002</v>
      </c>
      <c r="E388" s="14"/>
    </row>
    <row r="390" spans="1:5" ht="13">
      <c r="B390" s="348" t="s">
        <v>481</v>
      </c>
      <c r="C390" s="349"/>
      <c r="D390" s="349"/>
      <c r="E390" s="349"/>
    </row>
    <row r="391" spans="1:5" ht="13">
      <c r="A391" s="238" t="s">
        <v>157</v>
      </c>
      <c r="B391" s="14" t="s">
        <v>145</v>
      </c>
      <c r="C391" s="113">
        <v>83.776083861260702</v>
      </c>
      <c r="D391" s="238" t="s">
        <v>1002</v>
      </c>
      <c r="E391" s="14"/>
    </row>
    <row r="392" spans="1:5" ht="13">
      <c r="A392" s="238" t="s">
        <v>157</v>
      </c>
      <c r="B392" s="14" t="s">
        <v>152</v>
      </c>
      <c r="C392" s="113">
        <v>167.5521677225214</v>
      </c>
      <c r="D392" s="238" t="s">
        <v>1002</v>
      </c>
      <c r="E392" s="14"/>
    </row>
    <row r="393" spans="1:5" ht="13">
      <c r="A393" s="238" t="s">
        <v>157</v>
      </c>
      <c r="B393" s="14" t="s">
        <v>156</v>
      </c>
      <c r="C393" s="113">
        <v>1976.9455913838397</v>
      </c>
      <c r="D393" s="238" t="s">
        <v>1002</v>
      </c>
      <c r="E393" s="14"/>
    </row>
    <row r="394" spans="1:5" ht="13">
      <c r="A394" s="238" t="s">
        <v>157</v>
      </c>
      <c r="B394" s="14" t="s">
        <v>161</v>
      </c>
      <c r="C394" s="113">
        <v>3953.8911827676793</v>
      </c>
      <c r="D394" s="238" t="s">
        <v>1002</v>
      </c>
      <c r="E394" s="14"/>
    </row>
    <row r="395" spans="1:5" ht="13">
      <c r="A395" s="238" t="s">
        <v>157</v>
      </c>
      <c r="B395" s="14" t="s">
        <v>150</v>
      </c>
      <c r="C395" s="113">
        <v>3239.0585963988915</v>
      </c>
      <c r="D395" s="238" t="s">
        <v>1002</v>
      </c>
      <c r="E395" s="14"/>
    </row>
    <row r="396" spans="1:5" ht="13">
      <c r="A396" s="238" t="s">
        <v>157</v>
      </c>
      <c r="B396" s="14" t="s">
        <v>168</v>
      </c>
      <c r="C396" s="113">
        <v>6478.117192797783</v>
      </c>
      <c r="D396" s="238" t="s">
        <v>1002</v>
      </c>
      <c r="E396" s="14"/>
    </row>
    <row r="397" spans="1:5" ht="13">
      <c r="A397" s="238" t="s">
        <v>146</v>
      </c>
      <c r="B397" s="14" t="s">
        <v>145</v>
      </c>
      <c r="C397" s="113">
        <v>972.51262045565204</v>
      </c>
      <c r="D397" s="238" t="s">
        <v>1002</v>
      </c>
      <c r="E397" s="14"/>
    </row>
    <row r="398" spans="1:5" ht="13">
      <c r="A398" s="238" t="s">
        <v>146</v>
      </c>
      <c r="B398" s="14" t="s">
        <v>152</v>
      </c>
      <c r="C398" s="113">
        <v>1945.0252409113041</v>
      </c>
      <c r="D398" s="238" t="s">
        <v>1002</v>
      </c>
      <c r="E398" s="14"/>
    </row>
    <row r="399" spans="1:5" ht="13">
      <c r="A399" s="238" t="s">
        <v>146</v>
      </c>
      <c r="B399" s="14" t="s">
        <v>156</v>
      </c>
      <c r="C399" s="113">
        <v>2865.6821279782307</v>
      </c>
      <c r="D399" s="238" t="s">
        <v>1002</v>
      </c>
      <c r="E399" s="14"/>
    </row>
    <row r="400" spans="1:5" ht="13">
      <c r="A400" s="238" t="s">
        <v>146</v>
      </c>
      <c r="B400" s="14" t="s">
        <v>161</v>
      </c>
      <c r="C400" s="113">
        <v>5731.3642559564614</v>
      </c>
      <c r="D400" s="238" t="s">
        <v>1002</v>
      </c>
      <c r="E400" s="14"/>
    </row>
    <row r="401" spans="1:5" ht="13">
      <c r="A401" s="238" t="s">
        <v>146</v>
      </c>
      <c r="B401" s="14" t="s">
        <v>150</v>
      </c>
      <c r="C401" s="113">
        <v>4127.795132993283</v>
      </c>
      <c r="D401" s="238" t="s">
        <v>1002</v>
      </c>
      <c r="E401" s="14"/>
    </row>
    <row r="402" spans="1:5" ht="13">
      <c r="A402" s="238" t="s">
        <v>146</v>
      </c>
      <c r="B402" s="14" t="s">
        <v>168</v>
      </c>
      <c r="C402" s="113">
        <v>8255.590265986566</v>
      </c>
      <c r="D402" s="238" t="s">
        <v>1002</v>
      </c>
      <c r="E402" s="14"/>
    </row>
    <row r="403" spans="1:5" ht="13">
      <c r="A403" s="238" t="s">
        <v>148</v>
      </c>
      <c r="B403" s="14" t="s">
        <v>145</v>
      </c>
      <c r="C403" s="113">
        <v>1329.512620455652</v>
      </c>
      <c r="D403" s="238" t="s">
        <v>1002</v>
      </c>
      <c r="E403" s="14"/>
    </row>
    <row r="404" spans="1:5" ht="13">
      <c r="A404" s="238" t="s">
        <v>148</v>
      </c>
      <c r="B404" s="14" t="s">
        <v>152</v>
      </c>
      <c r="C404" s="113">
        <v>2659.0252409113041</v>
      </c>
      <c r="D404" s="238" t="s">
        <v>1002</v>
      </c>
      <c r="E404" s="14"/>
    </row>
    <row r="405" spans="1:5" ht="13">
      <c r="A405" s="238" t="s">
        <v>148</v>
      </c>
      <c r="B405" s="14" t="s">
        <v>156</v>
      </c>
      <c r="C405" s="113">
        <v>3222.6821279782307</v>
      </c>
      <c r="D405" s="238" t="s">
        <v>1002</v>
      </c>
      <c r="E405" s="14"/>
    </row>
    <row r="406" spans="1:5" ht="13">
      <c r="A406" s="238" t="s">
        <v>148</v>
      </c>
      <c r="B406" s="14" t="s">
        <v>161</v>
      </c>
      <c r="C406" s="113">
        <v>6445.3642559564614</v>
      </c>
      <c r="D406" s="238" t="s">
        <v>1002</v>
      </c>
      <c r="E406" s="14"/>
    </row>
    <row r="407" spans="1:5" ht="13">
      <c r="A407" s="238" t="s">
        <v>148</v>
      </c>
      <c r="B407" s="14" t="s">
        <v>150</v>
      </c>
      <c r="C407" s="113">
        <v>4484.795132993283</v>
      </c>
      <c r="D407" s="238" t="s">
        <v>1002</v>
      </c>
      <c r="E407" s="14"/>
    </row>
    <row r="408" spans="1:5" ht="13">
      <c r="A408" s="238" t="s">
        <v>148</v>
      </c>
      <c r="B408" s="14" t="s">
        <v>168</v>
      </c>
      <c r="C408" s="113">
        <v>8969.590265986566</v>
      </c>
      <c r="D408" s="238" t="s">
        <v>1002</v>
      </c>
      <c r="E408" s="14"/>
    </row>
    <row r="410" spans="1:5" ht="13">
      <c r="B410" s="348" t="s">
        <v>489</v>
      </c>
      <c r="C410" s="349"/>
      <c r="D410" s="349"/>
      <c r="E410" s="349"/>
    </row>
    <row r="411" spans="1:5" ht="13">
      <c r="B411" s="14" t="s">
        <v>1039</v>
      </c>
      <c r="C411" s="35">
        <v>2586.2411242438579</v>
      </c>
      <c r="D411" s="238" t="s">
        <v>54</v>
      </c>
      <c r="E411" s="14"/>
    </row>
    <row r="412" spans="1:5" ht="13">
      <c r="B412" s="14" t="s">
        <v>1040</v>
      </c>
      <c r="C412" s="35">
        <v>36801.086205621214</v>
      </c>
      <c r="D412" s="238" t="s">
        <v>78</v>
      </c>
      <c r="E412" s="14"/>
    </row>
    <row r="413" spans="1:5" ht="13">
      <c r="B413" s="14" t="s">
        <v>1041</v>
      </c>
      <c r="C413" s="35">
        <v>80801.857987901734</v>
      </c>
      <c r="D413" s="238" t="s">
        <v>1043</v>
      </c>
      <c r="E413" s="14"/>
    </row>
    <row r="414" spans="1:5" ht="13">
      <c r="B414" s="14" t="s">
        <v>1042</v>
      </c>
      <c r="C414" s="35">
        <v>40400.928993950867</v>
      </c>
      <c r="D414" s="238" t="s">
        <v>1043</v>
      </c>
      <c r="E414" s="14"/>
    </row>
    <row r="415" spans="1:5" ht="13">
      <c r="B415" s="14" t="s">
        <v>1085</v>
      </c>
      <c r="C415" s="35">
        <v>78593.857987901734</v>
      </c>
      <c r="D415" s="238" t="s">
        <v>1043</v>
      </c>
      <c r="E415" s="14"/>
    </row>
    <row r="417" spans="2:5" ht="13">
      <c r="B417" s="348" t="s">
        <v>490</v>
      </c>
      <c r="C417" s="349"/>
      <c r="D417" s="349"/>
      <c r="E417" s="350"/>
    </row>
    <row r="418" spans="2:5" ht="13">
      <c r="B418" s="116" t="s">
        <v>952</v>
      </c>
      <c r="C418" s="113">
        <v>1.4057477918160985</v>
      </c>
      <c r="D418" s="238" t="s">
        <v>138</v>
      </c>
      <c r="E418" s="14" t="s">
        <v>1580</v>
      </c>
    </row>
    <row r="419" spans="2:5" ht="13">
      <c r="B419" s="116" t="s">
        <v>953</v>
      </c>
      <c r="C419" s="113">
        <v>0</v>
      </c>
      <c r="D419" s="238" t="s">
        <v>138</v>
      </c>
      <c r="E419" s="14" t="s">
        <v>491</v>
      </c>
    </row>
    <row r="420" spans="2:5" ht="13">
      <c r="B420" s="116" t="s">
        <v>954</v>
      </c>
      <c r="C420" s="113">
        <v>2.1612072292413829</v>
      </c>
      <c r="D420" s="238" t="s">
        <v>138</v>
      </c>
      <c r="E420" s="14"/>
    </row>
    <row r="421" spans="2:5" ht="13">
      <c r="B421" s="116" t="s">
        <v>955</v>
      </c>
      <c r="C421" s="113">
        <v>2.2862072292413829</v>
      </c>
      <c r="D421" s="238" t="s">
        <v>138</v>
      </c>
      <c r="E421" s="14"/>
    </row>
    <row r="422" spans="2:5" ht="13">
      <c r="B422" s="116" t="s">
        <v>956</v>
      </c>
      <c r="C422" s="113">
        <v>1.25</v>
      </c>
      <c r="D422" s="238" t="s">
        <v>138</v>
      </c>
      <c r="E422" s="14"/>
    </row>
    <row r="423" spans="2:5" ht="13">
      <c r="B423" s="116" t="s">
        <v>1034</v>
      </c>
      <c r="C423" s="35">
        <v>3571.3568272918019</v>
      </c>
      <c r="D423" s="238" t="s">
        <v>467</v>
      </c>
      <c r="E423" s="14"/>
    </row>
    <row r="424" spans="2:5" ht="13">
      <c r="B424" s="116" t="s">
        <v>1033</v>
      </c>
      <c r="C424" s="35">
        <v>3571.3568272918019</v>
      </c>
      <c r="D424" s="238" t="s">
        <v>467</v>
      </c>
      <c r="E424" s="14"/>
    </row>
    <row r="426" spans="2:5" ht="13">
      <c r="B426" s="348" t="s">
        <v>117</v>
      </c>
      <c r="C426" s="349"/>
      <c r="D426" s="349"/>
      <c r="E426" s="350"/>
    </row>
    <row r="427" spans="2:5" ht="13">
      <c r="B427" s="14" t="s">
        <v>120</v>
      </c>
      <c r="C427" s="35">
        <v>127299.02471965126</v>
      </c>
      <c r="D427" s="238" t="s">
        <v>1031</v>
      </c>
      <c r="E427" s="14"/>
    </row>
    <row r="428" spans="2:5" ht="13">
      <c r="B428" s="14" t="s">
        <v>123</v>
      </c>
      <c r="C428" s="35">
        <v>260457.16548370387</v>
      </c>
      <c r="D428" s="238" t="s">
        <v>1031</v>
      </c>
      <c r="E428" s="14"/>
    </row>
    <row r="429" spans="2:5" ht="13">
      <c r="B429" s="14" t="s">
        <v>125</v>
      </c>
      <c r="C429" s="35">
        <v>431302.77125752135</v>
      </c>
      <c r="D429" s="238" t="s">
        <v>1031</v>
      </c>
      <c r="E429" s="14"/>
    </row>
    <row r="430" spans="2:5">
      <c r="C430" s="282"/>
    </row>
    <row r="431" spans="2:5" ht="13">
      <c r="B431" s="348" t="s">
        <v>492</v>
      </c>
      <c r="C431" s="349"/>
      <c r="D431" s="349"/>
      <c r="E431" s="350"/>
    </row>
    <row r="432" spans="2:5" ht="13">
      <c r="B432" s="114" t="s">
        <v>1035</v>
      </c>
      <c r="C432" s="35">
        <v>3571.3568272918019</v>
      </c>
      <c r="D432" s="238" t="s">
        <v>467</v>
      </c>
      <c r="E432" s="14"/>
    </row>
    <row r="433" spans="2:5" ht="13">
      <c r="B433" s="114" t="s">
        <v>1034</v>
      </c>
      <c r="C433" s="35">
        <v>3571.3568272918019</v>
      </c>
      <c r="D433" s="238" t="s">
        <v>467</v>
      </c>
      <c r="E433" s="14"/>
    </row>
    <row r="434" spans="2:5" ht="13">
      <c r="B434" s="14" t="s">
        <v>957</v>
      </c>
      <c r="C434" s="113">
        <v>30.149429723218436</v>
      </c>
      <c r="D434" s="238" t="s">
        <v>959</v>
      </c>
      <c r="E434" s="14"/>
    </row>
    <row r="435" spans="2:5" ht="13">
      <c r="B435" s="14" t="s">
        <v>1581</v>
      </c>
      <c r="C435" s="35">
        <v>15444.800000000001</v>
      </c>
      <c r="D435" s="238" t="s">
        <v>960</v>
      </c>
      <c r="E435" s="14"/>
    </row>
    <row r="436" spans="2:5" ht="13">
      <c r="B436" s="14" t="s">
        <v>1582</v>
      </c>
      <c r="C436" s="35">
        <v>37646.400000000001</v>
      </c>
      <c r="D436" s="238" t="s">
        <v>960</v>
      </c>
      <c r="E436" s="14"/>
    </row>
    <row r="437" spans="2:5" ht="13">
      <c r="B437" s="14" t="s">
        <v>1583</v>
      </c>
      <c r="C437" s="35">
        <v>5524.92</v>
      </c>
      <c r="D437" s="238" t="s">
        <v>960</v>
      </c>
      <c r="E437" s="14"/>
    </row>
    <row r="438" spans="2:5" ht="13">
      <c r="B438" s="14" t="s">
        <v>1584</v>
      </c>
      <c r="C438" s="35">
        <v>30804.239999999998</v>
      </c>
      <c r="D438" s="238" t="s">
        <v>960</v>
      </c>
      <c r="E438" s="14"/>
    </row>
    <row r="439" spans="2:5" ht="13">
      <c r="B439" s="14" t="s">
        <v>1585</v>
      </c>
      <c r="C439" s="35">
        <v>12097.599999999999</v>
      </c>
      <c r="D439" s="238" t="s">
        <v>961</v>
      </c>
      <c r="E439" s="14"/>
    </row>
    <row r="440" spans="2:5" ht="13">
      <c r="B440" s="14" t="s">
        <v>1586</v>
      </c>
      <c r="C440" s="35">
        <v>38534.399999999994</v>
      </c>
      <c r="D440" s="238" t="s">
        <v>961</v>
      </c>
      <c r="E440" s="14"/>
    </row>
    <row r="441" spans="2:5" ht="13">
      <c r="B441" s="14" t="s">
        <v>1587</v>
      </c>
      <c r="C441" s="35">
        <v>24195.199999999997</v>
      </c>
      <c r="D441" s="238" t="s">
        <v>962</v>
      </c>
      <c r="E441" s="14"/>
    </row>
    <row r="442" spans="2:5" ht="13">
      <c r="B442" s="14" t="s">
        <v>1588</v>
      </c>
      <c r="C442" s="35">
        <v>57801.599999999991</v>
      </c>
      <c r="D442" s="238" t="s">
        <v>962</v>
      </c>
      <c r="E442" s="14"/>
    </row>
    <row r="443" spans="2:5" ht="13">
      <c r="B443" s="14" t="s">
        <v>1589</v>
      </c>
      <c r="C443" s="113">
        <v>11.253794700358636</v>
      </c>
      <c r="D443" s="238" t="s">
        <v>963</v>
      </c>
      <c r="E443" s="14"/>
    </row>
    <row r="444" spans="2:5" ht="13">
      <c r="B444" s="14" t="s">
        <v>1590</v>
      </c>
      <c r="C444" s="113">
        <v>17.620692050537954</v>
      </c>
      <c r="D444" s="238" t="s">
        <v>963</v>
      </c>
      <c r="E444" s="14"/>
    </row>
    <row r="445" spans="2:5" ht="13">
      <c r="B445" s="14" t="s">
        <v>1591</v>
      </c>
      <c r="C445" s="113">
        <v>1122.1858438620739</v>
      </c>
      <c r="D445" s="238" t="s">
        <v>1076</v>
      </c>
      <c r="E445" s="14"/>
    </row>
    <row r="446" spans="2:5" ht="13">
      <c r="B446" s="14" t="s">
        <v>1592</v>
      </c>
      <c r="C446" s="113">
        <v>3674.7589400717275</v>
      </c>
      <c r="D446" s="238" t="s">
        <v>964</v>
      </c>
      <c r="E446" s="14" t="s">
        <v>1593</v>
      </c>
    </row>
    <row r="447" spans="2:5" ht="13">
      <c r="B447" s="14" t="s">
        <v>1594</v>
      </c>
      <c r="C447" s="113">
        <v>7349.5178801434549</v>
      </c>
      <c r="D447" s="238" t="s">
        <v>964</v>
      </c>
      <c r="E447" s="14" t="s">
        <v>1593</v>
      </c>
    </row>
    <row r="448" spans="2:5" ht="13">
      <c r="B448" s="14" t="s">
        <v>1595</v>
      </c>
      <c r="C448" s="113">
        <v>9060.5190379034666</v>
      </c>
      <c r="D448" s="238" t="s">
        <v>964</v>
      </c>
      <c r="E448" s="14"/>
    </row>
    <row r="449" spans="2:5" ht="13">
      <c r="B449" s="14" t="s">
        <v>1596</v>
      </c>
      <c r="C449" s="113">
        <v>22651.297594758667</v>
      </c>
      <c r="D449" s="238" t="s">
        <v>964</v>
      </c>
      <c r="E449" s="14"/>
    </row>
  </sheetData>
  <sheetProtection algorithmName="SHA-512" hashValue="QRvCKQtS1nIqE84pLThdqYpnZmh9n6PaVSFlRiwHvukgn1FDsQPCO775/68py3hbDCZLJidhdxlJh0wpy5Z7pw==" saltValue="p7JhR9xumKfag9YbKj7ztg==" spinCount="100000" sheet="1" objects="1" scenarios="1" autoFilter="0"/>
  <phoneticPr fontId="8" type="noConversion"/>
  <hyperlinks>
    <hyperlink ref="B3" location="Information" display="Return to Information" xr:uid="{EBE11969-575E-49E6-99C4-7F0774763B41}"/>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252E8-2A85-471B-ACF6-7E0A7E57FDA6}">
  <sheetPr codeName="Sheet11">
    <tabColor theme="5" tint="0.39997558519241921"/>
  </sheetPr>
  <dimension ref="B2:AI139"/>
  <sheetViews>
    <sheetView showGridLines="0" zoomScaleNormal="100" workbookViewId="0">
      <pane xSplit="5" ySplit="7" topLeftCell="F8" activePane="bottomRight" state="frozen"/>
      <selection pane="topRight" activeCell="F1" sqref="F1"/>
      <selection pane="bottomLeft" activeCell="A8" sqref="A8"/>
      <selection pane="bottomRight"/>
    </sheetView>
  </sheetViews>
  <sheetFormatPr defaultColWidth="8.7265625" defaultRowHeight="15" customHeight="1"/>
  <cols>
    <col min="1" max="1" width="3.26953125" style="238" customWidth="1"/>
    <col min="2" max="2" width="41.7265625" style="238" customWidth="1"/>
    <col min="3" max="4" width="12.26953125" style="238" customWidth="1"/>
    <col min="5" max="5" width="10.453125" style="238" customWidth="1"/>
    <col min="6" max="6" width="80.453125" style="310" customWidth="1"/>
    <col min="7" max="7" width="68.453125" style="238" customWidth="1"/>
    <col min="8" max="8" width="4" style="353" customWidth="1"/>
    <col min="9" max="9" width="7.26953125" style="238" customWidth="1"/>
    <col min="10" max="14" width="17.26953125" style="238" customWidth="1"/>
    <col min="15" max="15" width="20.26953125" style="238" bestFit="1" customWidth="1"/>
    <col min="16" max="16" width="13.453125" style="238" customWidth="1"/>
    <col min="17" max="34" width="11.54296875" style="238" customWidth="1"/>
    <col min="35" max="35" width="13.453125" style="238" customWidth="1"/>
    <col min="36" max="16384" width="8.7265625" style="238"/>
  </cols>
  <sheetData>
    <row r="2" spans="2:35" ht="13">
      <c r="B2" s="237" t="str">
        <f>Project_Name</f>
        <v xml:space="preserve">South Australia Hydrogen and Renewable Energy Restoration Cost Estimation Tool </v>
      </c>
    </row>
    <row r="3" spans="2:35" ht="11.25" customHeight="1">
      <c r="B3" s="4" t="s">
        <v>31</v>
      </c>
      <c r="J3" s="354"/>
      <c r="K3" s="354"/>
      <c r="L3" s="354"/>
      <c r="M3" s="354"/>
      <c r="N3" s="355"/>
      <c r="O3" s="117" t="s">
        <v>493</v>
      </c>
      <c r="P3" s="118">
        <v>0</v>
      </c>
      <c r="Q3" s="288"/>
      <c r="R3" s="355"/>
    </row>
    <row r="4" spans="2:35" ht="13">
      <c r="B4" s="356" t="s">
        <v>17</v>
      </c>
      <c r="C4" s="357"/>
      <c r="D4" s="357"/>
      <c r="E4" s="357"/>
      <c r="F4" s="358"/>
      <c r="G4" s="357"/>
      <c r="J4" s="355"/>
      <c r="K4" s="355"/>
      <c r="L4" s="355"/>
      <c r="M4" s="355"/>
      <c r="N4" s="355"/>
      <c r="O4" s="117" t="s">
        <v>494</v>
      </c>
      <c r="P4" s="119">
        <v>0.03</v>
      </c>
      <c r="Q4" s="288"/>
      <c r="R4" s="359"/>
    </row>
    <row r="5" spans="2:35" ht="11.25" customHeight="1">
      <c r="J5" s="355"/>
      <c r="K5" s="355"/>
      <c r="L5" s="355"/>
      <c r="M5" s="355"/>
      <c r="N5" s="355"/>
      <c r="O5" s="117" t="s">
        <v>495</v>
      </c>
      <c r="P5" s="1">
        <f>1*(1+P4)^P3</f>
        <v>1</v>
      </c>
      <c r="Q5" s="120">
        <v>45686</v>
      </c>
      <c r="R5" s="360"/>
      <c r="S5" s="355"/>
      <c r="T5" s="355"/>
      <c r="U5" s="355"/>
      <c r="V5" s="355"/>
      <c r="W5" s="355"/>
      <c r="X5" s="355"/>
      <c r="Y5" s="355"/>
      <c r="Z5" s="355"/>
      <c r="AA5" s="355"/>
      <c r="AB5" s="355"/>
      <c r="AC5" s="355"/>
      <c r="AD5" s="355"/>
      <c r="AE5" s="355"/>
      <c r="AF5" s="355"/>
      <c r="AG5" s="355"/>
      <c r="AH5" s="355"/>
    </row>
    <row r="6" spans="2:35" ht="30" customHeight="1">
      <c r="B6" s="260" t="s">
        <v>71</v>
      </c>
      <c r="C6" s="260" t="s">
        <v>496</v>
      </c>
      <c r="D6" s="260" t="s">
        <v>497</v>
      </c>
      <c r="E6" s="260" t="s">
        <v>51</v>
      </c>
      <c r="F6" s="361" t="s">
        <v>1329</v>
      </c>
      <c r="G6" s="361" t="s">
        <v>1330</v>
      </c>
      <c r="I6" s="362" t="s">
        <v>498</v>
      </c>
      <c r="J6" s="363" t="s">
        <v>499</v>
      </c>
      <c r="K6" s="363" t="s">
        <v>500</v>
      </c>
      <c r="L6" s="363" t="s">
        <v>501</v>
      </c>
      <c r="M6" s="363" t="s">
        <v>502</v>
      </c>
      <c r="N6" s="363" t="s">
        <v>503</v>
      </c>
      <c r="O6" s="363" t="s">
        <v>74</v>
      </c>
      <c r="P6" s="363" t="s">
        <v>504</v>
      </c>
      <c r="Q6" s="363" t="s">
        <v>505</v>
      </c>
      <c r="R6" s="363" t="s">
        <v>506</v>
      </c>
      <c r="S6" s="363" t="s">
        <v>507</v>
      </c>
      <c r="T6" s="363" t="s">
        <v>508</v>
      </c>
      <c r="U6" s="363" t="s">
        <v>509</v>
      </c>
      <c r="V6" s="363" t="s">
        <v>510</v>
      </c>
      <c r="W6" s="363" t="s">
        <v>511</v>
      </c>
      <c r="X6" s="363" t="s">
        <v>512</v>
      </c>
      <c r="Y6" s="363" t="s">
        <v>513</v>
      </c>
      <c r="Z6" s="363" t="s">
        <v>514</v>
      </c>
      <c r="AA6" s="363" t="s">
        <v>515</v>
      </c>
      <c r="AB6" s="363" t="s">
        <v>516</v>
      </c>
      <c r="AC6" s="363" t="s">
        <v>517</v>
      </c>
      <c r="AD6" s="363" t="s">
        <v>518</v>
      </c>
      <c r="AE6" s="363" t="s">
        <v>519</v>
      </c>
      <c r="AF6" s="363" t="s">
        <v>520</v>
      </c>
      <c r="AG6" s="363" t="s">
        <v>521</v>
      </c>
      <c r="AH6" s="363" t="s">
        <v>1044</v>
      </c>
      <c r="AI6" s="363" t="s">
        <v>522</v>
      </c>
    </row>
    <row r="7" spans="2:35" ht="3" customHeight="1"/>
    <row r="8" spans="2:35" ht="13">
      <c r="B8" s="260" t="s">
        <v>523</v>
      </c>
      <c r="Q8" s="364"/>
    </row>
    <row r="9" spans="2:35" ht="12.5">
      <c r="B9" s="14" t="s">
        <v>524</v>
      </c>
      <c r="C9" s="149"/>
      <c r="D9" s="121" cm="1">
        <f t="array" ref="D9">IF(C9="",IFERROR(Rates!$P9*Inflation,"NV"),C9)</f>
        <v>40</v>
      </c>
      <c r="E9" s="238" t="s">
        <v>525</v>
      </c>
      <c r="F9" s="14" t="s">
        <v>1159</v>
      </c>
      <c r="G9" s="150"/>
      <c r="J9" s="122">
        <f>$N9-$L9</f>
        <v>0</v>
      </c>
      <c r="K9" s="123">
        <f>IF(L9=0,"No min",$J9/$L9)</f>
        <v>0</v>
      </c>
      <c r="L9" s="122">
        <f>MIN(R9:AH9)</f>
        <v>40</v>
      </c>
      <c r="M9" s="122">
        <f>IFERROR(AVERAGE(R9:AH9),"One rate")</f>
        <v>40</v>
      </c>
      <c r="N9" s="122">
        <f>MAX(R9:AH9)</f>
        <v>40</v>
      </c>
      <c r="O9" s="124" t="s">
        <v>509</v>
      </c>
      <c r="P9" s="122">
        <f>_xlfn.XLOOKUP(Rates!$O9,$J$6:$AI$6,J9:AI9)</f>
        <v>40</v>
      </c>
      <c r="Q9" s="125"/>
      <c r="R9" s="124"/>
      <c r="S9" s="124"/>
      <c r="T9" s="126"/>
      <c r="U9" s="124">
        <v>40</v>
      </c>
      <c r="V9" s="124"/>
      <c r="W9" s="124"/>
      <c r="X9" s="124"/>
      <c r="Y9" s="124"/>
      <c r="Z9" s="124"/>
      <c r="AA9" s="124"/>
      <c r="AB9" s="124"/>
      <c r="AC9" s="124"/>
      <c r="AD9" s="124"/>
      <c r="AE9" s="124"/>
      <c r="AF9" s="124"/>
      <c r="AG9" s="124"/>
      <c r="AH9" s="124"/>
      <c r="AI9" s="127">
        <v>255</v>
      </c>
    </row>
    <row r="10" spans="2:35" ht="12.5">
      <c r="B10" s="37" t="s">
        <v>527</v>
      </c>
      <c r="C10" s="149"/>
      <c r="D10" s="121" cm="1">
        <f t="array" ref="D10">IF(C10="",IFERROR(Rates!$P10*Inflation,"NV"),C10)</f>
        <v>90</v>
      </c>
      <c r="E10" s="238" t="s">
        <v>525</v>
      </c>
      <c r="F10" s="128" t="s">
        <v>526</v>
      </c>
      <c r="G10" s="150"/>
      <c r="H10" s="129"/>
      <c r="J10" s="122">
        <f>$N10-$L10</f>
        <v>0</v>
      </c>
      <c r="K10" s="123" t="str">
        <f>IF(L10=0,"No min",$J10/$L10)</f>
        <v>No min</v>
      </c>
      <c r="L10" s="122">
        <f>MIN(R10:AH10)</f>
        <v>0</v>
      </c>
      <c r="M10" s="130" t="str">
        <f>IFERROR(AVERAGE(R10:AH10),"One / no rate")</f>
        <v>One / no rate</v>
      </c>
      <c r="N10" s="122">
        <f>MAX(R10:AH10)</f>
        <v>0</v>
      </c>
      <c r="O10" s="124" t="s">
        <v>522</v>
      </c>
      <c r="P10" s="122">
        <f>_xlfn.XLOOKUP(Rates!$O10,$J$6:$AI$6,J10:AI10)</f>
        <v>90</v>
      </c>
      <c r="Q10" s="125"/>
      <c r="R10" s="124"/>
      <c r="S10" s="124"/>
      <c r="T10" s="126"/>
      <c r="U10" s="124"/>
      <c r="V10" s="124"/>
      <c r="W10" s="124"/>
      <c r="X10" s="124"/>
      <c r="Y10" s="124"/>
      <c r="Z10" s="124"/>
      <c r="AA10" s="124"/>
      <c r="AB10" s="124"/>
      <c r="AC10" s="124"/>
      <c r="AD10" s="124"/>
      <c r="AE10" s="124"/>
      <c r="AF10" s="124"/>
      <c r="AG10" s="124"/>
      <c r="AH10" s="124"/>
      <c r="AI10" s="126">
        <v>90</v>
      </c>
    </row>
    <row r="11" spans="2:35" ht="13">
      <c r="B11" s="260" t="s">
        <v>528</v>
      </c>
      <c r="C11" s="100"/>
      <c r="H11" s="238"/>
    </row>
    <row r="12" spans="2:35" ht="12.5">
      <c r="B12" s="37" t="s">
        <v>529</v>
      </c>
      <c r="C12" s="149"/>
      <c r="D12" s="121" cm="1">
        <f t="array" ref="D12">IF(C12="",IFERROR(Rates!$P12*Inflation,"NV"),C12)</f>
        <v>318</v>
      </c>
      <c r="E12" s="238" t="s">
        <v>525</v>
      </c>
      <c r="F12" s="128" t="s">
        <v>526</v>
      </c>
      <c r="G12" s="150"/>
      <c r="H12" s="129"/>
      <c r="J12" s="122">
        <f>$N12-$L12</f>
        <v>0</v>
      </c>
      <c r="K12" s="123" t="str">
        <f>IF(L12=0,"No min",$J12/$L12)</f>
        <v>No min</v>
      </c>
      <c r="L12" s="122">
        <f>MIN(R12:AH12)</f>
        <v>0</v>
      </c>
      <c r="M12" s="130" t="str">
        <f>IFERROR(AVERAGE(R12:AH12),"One / no rate")</f>
        <v>One / no rate</v>
      </c>
      <c r="N12" s="122">
        <f>MAX(R12:AH12)</f>
        <v>0</v>
      </c>
      <c r="O12" s="124" t="s">
        <v>522</v>
      </c>
      <c r="P12" s="122">
        <f>_xlfn.XLOOKUP(Rates!$O12,$J$6:$AI$6,J12:AI12)</f>
        <v>318</v>
      </c>
      <c r="Q12" s="124"/>
      <c r="R12" s="131"/>
      <c r="S12" s="126"/>
      <c r="T12" s="124"/>
      <c r="U12" s="124"/>
      <c r="V12" s="124"/>
      <c r="W12" s="124"/>
      <c r="X12" s="124"/>
      <c r="Y12" s="124"/>
      <c r="Z12" s="124"/>
      <c r="AA12" s="124"/>
      <c r="AB12" s="124"/>
      <c r="AC12" s="124"/>
      <c r="AD12" s="124"/>
      <c r="AE12" s="124"/>
      <c r="AF12" s="124"/>
      <c r="AG12" s="124"/>
      <c r="AH12" s="124"/>
      <c r="AI12" s="131">
        <v>318</v>
      </c>
    </row>
    <row r="13" spans="2:35" ht="13">
      <c r="B13" s="260" t="s">
        <v>470</v>
      </c>
      <c r="C13" s="100"/>
      <c r="H13" s="238"/>
    </row>
    <row r="14" spans="2:35" ht="12.5">
      <c r="B14" s="37" t="s">
        <v>530</v>
      </c>
      <c r="C14" s="149"/>
      <c r="D14" s="121" cm="1">
        <f t="array" ref="D14">IF(C14="",IFERROR(Rates!$P14*Inflation,"NV"),C14)</f>
        <v>208.33</v>
      </c>
      <c r="E14" s="238" t="s">
        <v>525</v>
      </c>
      <c r="F14" s="128"/>
      <c r="G14" s="150"/>
      <c r="H14" s="129"/>
      <c r="J14" s="122">
        <f t="shared" ref="J14:J25" si="0">$N14-$L14</f>
        <v>0</v>
      </c>
      <c r="K14" s="123" t="str">
        <f t="shared" ref="K14" si="1">IF(L14=0,"No min",$J14/$L14)</f>
        <v>No min</v>
      </c>
      <c r="L14" s="122">
        <f>MIN(R14:AH14)</f>
        <v>0</v>
      </c>
      <c r="M14" s="130" t="str">
        <f>IFERROR(AVERAGE(R14:AH14),"One / no rate")</f>
        <v>One / no rate</v>
      </c>
      <c r="N14" s="122">
        <f>MAX(R14:AH14)</f>
        <v>0</v>
      </c>
      <c r="O14" s="124" t="s">
        <v>522</v>
      </c>
      <c r="P14" s="122">
        <f>_xlfn.XLOOKUP(Rates!$O14,$J$6:$AI$6,J14:AI14)</f>
        <v>208.33</v>
      </c>
      <c r="Q14" s="124"/>
      <c r="R14" s="126"/>
      <c r="S14" s="124"/>
      <c r="T14" s="124"/>
      <c r="U14" s="124"/>
      <c r="V14" s="124"/>
      <c r="W14" s="124"/>
      <c r="X14" s="124"/>
      <c r="Y14" s="124"/>
      <c r="Z14" s="124"/>
      <c r="AA14" s="124"/>
      <c r="AB14" s="124"/>
      <c r="AC14" s="124"/>
      <c r="AD14" s="124"/>
      <c r="AE14" s="124"/>
      <c r="AF14" s="124"/>
      <c r="AG14" s="124"/>
      <c r="AH14" s="124"/>
      <c r="AI14" s="122">
        <v>208.33</v>
      </c>
    </row>
    <row r="15" spans="2:35" ht="13">
      <c r="B15" s="260" t="s">
        <v>531</v>
      </c>
      <c r="C15" s="100"/>
      <c r="H15" s="238"/>
    </row>
    <row r="16" spans="2:35" ht="12.5">
      <c r="B16" s="37" t="s">
        <v>532</v>
      </c>
      <c r="C16" s="149"/>
      <c r="D16" s="121" cm="1">
        <f t="array" ref="D16">IF(C16="",IFERROR(Rates!$P16*Inflation,"NV"),C16)</f>
        <v>155</v>
      </c>
      <c r="E16" s="238" t="s">
        <v>525</v>
      </c>
      <c r="F16" s="14" t="s">
        <v>533</v>
      </c>
      <c r="G16" s="150"/>
      <c r="H16" s="129"/>
      <c r="J16" s="122">
        <f t="shared" si="0"/>
        <v>0</v>
      </c>
      <c r="K16" s="123">
        <f t="shared" ref="K16:K25" si="2">IF(L16=0,"No min",$J16/$L16)</f>
        <v>0</v>
      </c>
      <c r="L16" s="122">
        <f t="shared" ref="L16:L25" si="3">MIN(R16:AH16)</f>
        <v>155</v>
      </c>
      <c r="M16" s="130">
        <f>IFERROR(AVERAGE(R16:AH16),"One / no rate")</f>
        <v>155</v>
      </c>
      <c r="N16" s="122">
        <f t="shared" ref="N16:N25" si="4">MAX(R16:AH16)</f>
        <v>155</v>
      </c>
      <c r="O16" s="124" t="s">
        <v>506</v>
      </c>
      <c r="P16" s="122">
        <f>_xlfn.XLOOKUP(Rates!$O16,$J$6:$AI$6,J16:AI16)</f>
        <v>155</v>
      </c>
      <c r="Q16" s="124"/>
      <c r="R16" s="126">
        <v>155</v>
      </c>
      <c r="S16" s="124"/>
      <c r="T16" s="124"/>
      <c r="U16" s="124"/>
      <c r="V16" s="124"/>
      <c r="W16" s="124"/>
      <c r="X16" s="124"/>
      <c r="Y16" s="124"/>
      <c r="Z16" s="124"/>
      <c r="AA16" s="124"/>
      <c r="AB16" s="124"/>
      <c r="AC16" s="124"/>
      <c r="AD16" s="124"/>
      <c r="AE16" s="124"/>
      <c r="AF16" s="124"/>
      <c r="AG16" s="124"/>
      <c r="AH16" s="124"/>
      <c r="AI16" s="122"/>
    </row>
    <row r="17" spans="2:35" ht="12.5">
      <c r="B17" s="37" t="s">
        <v>534</v>
      </c>
      <c r="C17" s="149"/>
      <c r="D17" s="121" cm="1">
        <f t="array" ref="D17">IF(C17="",IFERROR(Rates!$P17*Inflation,"NV"),C17)</f>
        <v>180</v>
      </c>
      <c r="E17" s="238" t="s">
        <v>525</v>
      </c>
      <c r="F17" s="14" t="s">
        <v>533</v>
      </c>
      <c r="G17" s="150"/>
      <c r="H17" s="129"/>
      <c r="J17" s="122">
        <f t="shared" si="0"/>
        <v>0</v>
      </c>
      <c r="K17" s="123">
        <f t="shared" si="2"/>
        <v>0</v>
      </c>
      <c r="L17" s="122">
        <f t="shared" si="3"/>
        <v>180</v>
      </c>
      <c r="M17" s="122">
        <f t="shared" ref="M17:M25" si="5">AVERAGE(R17:AH17)</f>
        <v>180</v>
      </c>
      <c r="N17" s="122">
        <f t="shared" si="4"/>
        <v>180</v>
      </c>
      <c r="O17" s="124" t="s">
        <v>506</v>
      </c>
      <c r="P17" s="122">
        <f>_xlfn.XLOOKUP(Rates!$O17,$J$6:$AI$6,J17:AI17)</f>
        <v>180</v>
      </c>
      <c r="Q17" s="124"/>
      <c r="R17" s="126">
        <v>180</v>
      </c>
      <c r="S17" s="124"/>
      <c r="T17" s="124"/>
      <c r="U17" s="124"/>
      <c r="V17" s="124"/>
      <c r="W17" s="124"/>
      <c r="X17" s="124"/>
      <c r="Y17" s="124"/>
      <c r="Z17" s="124"/>
      <c r="AA17" s="124"/>
      <c r="AB17" s="124"/>
      <c r="AC17" s="124"/>
      <c r="AD17" s="124"/>
      <c r="AE17" s="124"/>
      <c r="AF17" s="124"/>
      <c r="AG17" s="124"/>
      <c r="AH17" s="124"/>
      <c r="AI17" s="122"/>
    </row>
    <row r="18" spans="2:35" ht="12.5">
      <c r="B18" s="37" t="s">
        <v>535</v>
      </c>
      <c r="C18" s="149"/>
      <c r="D18" s="121" cm="1">
        <f t="array" ref="D18">IF(C18="",IFERROR(Rates!$P18*Inflation,"NV"),C18)</f>
        <v>250</v>
      </c>
      <c r="E18" s="238" t="s">
        <v>525</v>
      </c>
      <c r="F18" s="14" t="s">
        <v>533</v>
      </c>
      <c r="G18" s="150"/>
      <c r="H18" s="129"/>
      <c r="J18" s="122">
        <f t="shared" si="0"/>
        <v>0</v>
      </c>
      <c r="K18" s="123">
        <f t="shared" si="2"/>
        <v>0</v>
      </c>
      <c r="L18" s="122">
        <f t="shared" si="3"/>
        <v>250</v>
      </c>
      <c r="M18" s="122">
        <f t="shared" si="5"/>
        <v>250</v>
      </c>
      <c r="N18" s="122">
        <f t="shared" si="4"/>
        <v>250</v>
      </c>
      <c r="O18" s="124" t="s">
        <v>506</v>
      </c>
      <c r="P18" s="122">
        <f>_xlfn.XLOOKUP(Rates!$O18,$J$6:$AI$6,J18:AI18)</f>
        <v>250</v>
      </c>
      <c r="Q18" s="124"/>
      <c r="R18" s="126">
        <v>250</v>
      </c>
      <c r="S18" s="124"/>
      <c r="T18" s="124"/>
      <c r="U18" s="124"/>
      <c r="V18" s="124"/>
      <c r="W18" s="124"/>
      <c r="X18" s="124"/>
      <c r="Y18" s="124"/>
      <c r="Z18" s="124"/>
      <c r="AA18" s="124"/>
      <c r="AB18" s="124"/>
      <c r="AC18" s="124"/>
      <c r="AD18" s="124"/>
      <c r="AE18" s="124"/>
      <c r="AF18" s="124"/>
      <c r="AG18" s="124"/>
      <c r="AH18" s="124"/>
      <c r="AI18" s="122"/>
    </row>
    <row r="19" spans="2:35" ht="12.5">
      <c r="B19" s="37" t="s">
        <v>536</v>
      </c>
      <c r="C19" s="149"/>
      <c r="D19" s="121" cm="1">
        <f t="array" ref="D19">IF(C19="",IFERROR(Rates!$P19*Inflation,"NV"),C19)</f>
        <v>300</v>
      </c>
      <c r="E19" s="238" t="s">
        <v>525</v>
      </c>
      <c r="F19" s="14" t="s">
        <v>533</v>
      </c>
      <c r="G19" s="150"/>
      <c r="H19" s="129"/>
      <c r="J19" s="122">
        <f t="shared" si="0"/>
        <v>0</v>
      </c>
      <c r="K19" s="123">
        <f t="shared" si="2"/>
        <v>0</v>
      </c>
      <c r="L19" s="122">
        <f t="shared" si="3"/>
        <v>300</v>
      </c>
      <c r="M19" s="122">
        <f t="shared" si="5"/>
        <v>300</v>
      </c>
      <c r="N19" s="122">
        <f t="shared" si="4"/>
        <v>300</v>
      </c>
      <c r="O19" s="124" t="s">
        <v>506</v>
      </c>
      <c r="P19" s="122">
        <f>_xlfn.XLOOKUP(Rates!$O19,$J$6:$AI$6,J19:AI19)</f>
        <v>300</v>
      </c>
      <c r="Q19" s="124"/>
      <c r="R19" s="126">
        <v>300</v>
      </c>
      <c r="S19" s="124"/>
      <c r="T19" s="124"/>
      <c r="U19" s="124"/>
      <c r="V19" s="124"/>
      <c r="W19" s="124"/>
      <c r="X19" s="124"/>
      <c r="Y19" s="124"/>
      <c r="Z19" s="124"/>
      <c r="AA19" s="124"/>
      <c r="AB19" s="124"/>
      <c r="AC19" s="124"/>
      <c r="AD19" s="124"/>
      <c r="AE19" s="124"/>
      <c r="AF19" s="124"/>
      <c r="AG19" s="124"/>
      <c r="AH19" s="124"/>
      <c r="AI19" s="122"/>
    </row>
    <row r="20" spans="2:35" ht="12.5">
      <c r="B20" s="37" t="s">
        <v>537</v>
      </c>
      <c r="C20" s="149"/>
      <c r="D20" s="121" cm="1">
        <f t="array" ref="D20">IF(C20="",IFERROR(Rates!$P20*Inflation,"NV"),C20)</f>
        <v>240</v>
      </c>
      <c r="E20" s="238" t="s">
        <v>525</v>
      </c>
      <c r="F20" s="14" t="s">
        <v>533</v>
      </c>
      <c r="G20" s="150"/>
      <c r="H20" s="129"/>
      <c r="J20" s="122">
        <f t="shared" si="0"/>
        <v>0</v>
      </c>
      <c r="K20" s="123">
        <f t="shared" si="2"/>
        <v>0</v>
      </c>
      <c r="L20" s="122">
        <f t="shared" si="3"/>
        <v>240</v>
      </c>
      <c r="M20" s="122">
        <f t="shared" si="5"/>
        <v>240</v>
      </c>
      <c r="N20" s="122">
        <f t="shared" si="4"/>
        <v>240</v>
      </c>
      <c r="O20" s="124" t="s">
        <v>506</v>
      </c>
      <c r="P20" s="122">
        <f>_xlfn.XLOOKUP(Rates!$O20,$J$6:$AI$6,J20:AI20)</f>
        <v>240</v>
      </c>
      <c r="Q20" s="124"/>
      <c r="R20" s="126">
        <v>240</v>
      </c>
      <c r="S20" s="124"/>
      <c r="T20" s="124"/>
      <c r="U20" s="124"/>
      <c r="V20" s="124"/>
      <c r="W20" s="124"/>
      <c r="X20" s="124"/>
      <c r="Y20" s="124"/>
      <c r="Z20" s="124"/>
      <c r="AA20" s="124"/>
      <c r="AB20" s="124"/>
      <c r="AC20" s="124"/>
      <c r="AD20" s="124"/>
      <c r="AE20" s="124"/>
      <c r="AF20" s="124"/>
      <c r="AG20" s="124"/>
      <c r="AH20" s="124"/>
      <c r="AI20" s="122"/>
    </row>
    <row r="21" spans="2:35" ht="12.5">
      <c r="B21" s="37" t="s">
        <v>538</v>
      </c>
      <c r="C21" s="149"/>
      <c r="D21" s="121" cm="1">
        <f t="array" ref="D21">IF(C21="",IFERROR(Rates!$P21*Inflation,"NV"),C21)</f>
        <v>280</v>
      </c>
      <c r="E21" s="238" t="s">
        <v>525</v>
      </c>
      <c r="F21" s="14" t="s">
        <v>533</v>
      </c>
      <c r="G21" s="150"/>
      <c r="H21" s="129"/>
      <c r="J21" s="122">
        <f t="shared" si="0"/>
        <v>0</v>
      </c>
      <c r="K21" s="123">
        <f t="shared" si="2"/>
        <v>0</v>
      </c>
      <c r="L21" s="122">
        <f t="shared" si="3"/>
        <v>280</v>
      </c>
      <c r="M21" s="122">
        <f t="shared" si="5"/>
        <v>280</v>
      </c>
      <c r="N21" s="122">
        <f t="shared" si="4"/>
        <v>280</v>
      </c>
      <c r="O21" s="124" t="s">
        <v>506</v>
      </c>
      <c r="P21" s="122">
        <f>_xlfn.XLOOKUP(Rates!$O21,$J$6:$AI$6,J21:AI21)</f>
        <v>280</v>
      </c>
      <c r="Q21" s="124"/>
      <c r="R21" s="126">
        <v>280</v>
      </c>
      <c r="S21" s="124"/>
      <c r="T21" s="124"/>
      <c r="U21" s="124"/>
      <c r="V21" s="124"/>
      <c r="W21" s="124"/>
      <c r="X21" s="124"/>
      <c r="Y21" s="124"/>
      <c r="Z21" s="124"/>
      <c r="AA21" s="124"/>
      <c r="AB21" s="124"/>
      <c r="AC21" s="124"/>
      <c r="AD21" s="124"/>
      <c r="AE21" s="124"/>
      <c r="AF21" s="124"/>
      <c r="AG21" s="124"/>
      <c r="AH21" s="124"/>
      <c r="AI21" s="122"/>
    </row>
    <row r="22" spans="2:35" ht="12.5">
      <c r="B22" s="37" t="s">
        <v>539</v>
      </c>
      <c r="C22" s="149"/>
      <c r="D22" s="121" cm="1">
        <f t="array" ref="D22">IF(C22="",IFERROR(Rates!$P22*Inflation,"NV"),C22)</f>
        <v>420</v>
      </c>
      <c r="E22" s="238" t="s">
        <v>525</v>
      </c>
      <c r="F22" s="14" t="s">
        <v>533</v>
      </c>
      <c r="G22" s="150"/>
      <c r="H22" s="129"/>
      <c r="J22" s="122">
        <f t="shared" si="0"/>
        <v>0</v>
      </c>
      <c r="K22" s="123">
        <f t="shared" si="2"/>
        <v>0</v>
      </c>
      <c r="L22" s="122">
        <f t="shared" si="3"/>
        <v>420</v>
      </c>
      <c r="M22" s="122">
        <f t="shared" si="5"/>
        <v>420</v>
      </c>
      <c r="N22" s="122">
        <f t="shared" si="4"/>
        <v>420</v>
      </c>
      <c r="O22" s="124" t="s">
        <v>506</v>
      </c>
      <c r="P22" s="122">
        <f>_xlfn.XLOOKUP(Rates!$O22,$J$6:$AI$6,J22:AI22)</f>
        <v>420</v>
      </c>
      <c r="Q22" s="124"/>
      <c r="R22" s="126">
        <v>420</v>
      </c>
      <c r="S22" s="124"/>
      <c r="T22" s="124"/>
      <c r="U22" s="124"/>
      <c r="V22" s="124"/>
      <c r="W22" s="124"/>
      <c r="X22" s="124"/>
      <c r="Y22" s="124"/>
      <c r="Z22" s="124"/>
      <c r="AA22" s="124"/>
      <c r="AB22" s="124"/>
      <c r="AC22" s="124"/>
      <c r="AD22" s="124"/>
      <c r="AE22" s="124"/>
      <c r="AF22" s="124"/>
      <c r="AG22" s="124"/>
      <c r="AH22" s="124"/>
      <c r="AI22" s="122"/>
    </row>
    <row r="23" spans="2:35" ht="12.5">
      <c r="B23" s="37" t="s">
        <v>540</v>
      </c>
      <c r="C23" s="149"/>
      <c r="D23" s="121" cm="1">
        <f t="array" ref="D23">IF(C23="",IFERROR(Rates!$P23*Inflation,"NV"),C23)</f>
        <v>160</v>
      </c>
      <c r="E23" s="238" t="s">
        <v>525</v>
      </c>
      <c r="F23" s="14" t="s">
        <v>533</v>
      </c>
      <c r="G23" s="150"/>
      <c r="H23" s="129"/>
      <c r="J23" s="122">
        <f t="shared" si="0"/>
        <v>0</v>
      </c>
      <c r="K23" s="123">
        <f t="shared" si="2"/>
        <v>0</v>
      </c>
      <c r="L23" s="122">
        <f t="shared" si="3"/>
        <v>160</v>
      </c>
      <c r="M23" s="122">
        <f t="shared" si="5"/>
        <v>160</v>
      </c>
      <c r="N23" s="122">
        <f t="shared" si="4"/>
        <v>160</v>
      </c>
      <c r="O23" s="124" t="s">
        <v>506</v>
      </c>
      <c r="P23" s="122">
        <f>_xlfn.XLOOKUP(Rates!$O23,$J$6:$AI$6,J23:AI23)</f>
        <v>160</v>
      </c>
      <c r="Q23" s="124"/>
      <c r="R23" s="126">
        <v>160</v>
      </c>
      <c r="S23" s="124"/>
      <c r="T23" s="124"/>
      <c r="U23" s="124"/>
      <c r="V23" s="124"/>
      <c r="W23" s="124"/>
      <c r="X23" s="124"/>
      <c r="Y23" s="124"/>
      <c r="Z23" s="124"/>
      <c r="AA23" s="124"/>
      <c r="AB23" s="124"/>
      <c r="AC23" s="124"/>
      <c r="AD23" s="124"/>
      <c r="AE23" s="124"/>
      <c r="AF23" s="124"/>
      <c r="AG23" s="124"/>
      <c r="AH23" s="124"/>
      <c r="AI23" s="122"/>
    </row>
    <row r="24" spans="2:35" ht="12.5">
      <c r="B24" s="37" t="s">
        <v>541</v>
      </c>
      <c r="C24" s="149"/>
      <c r="D24" s="121" cm="1">
        <f t="array" ref="D24">IF(C24="",IFERROR(Rates!$P24*Inflation,"NV"),C24)</f>
        <v>140</v>
      </c>
      <c r="E24" s="238" t="s">
        <v>525</v>
      </c>
      <c r="F24" s="14" t="s">
        <v>533</v>
      </c>
      <c r="G24" s="150"/>
      <c r="H24" s="129"/>
      <c r="J24" s="122">
        <f t="shared" si="0"/>
        <v>0</v>
      </c>
      <c r="K24" s="123">
        <f t="shared" si="2"/>
        <v>0</v>
      </c>
      <c r="L24" s="122">
        <f t="shared" si="3"/>
        <v>140</v>
      </c>
      <c r="M24" s="122">
        <f t="shared" si="5"/>
        <v>140</v>
      </c>
      <c r="N24" s="122">
        <f t="shared" si="4"/>
        <v>140</v>
      </c>
      <c r="O24" s="124" t="s">
        <v>506</v>
      </c>
      <c r="P24" s="122">
        <f>_xlfn.XLOOKUP(Rates!$O24,$J$6:$AI$6,J24:AI24)</f>
        <v>140</v>
      </c>
      <c r="Q24" s="124"/>
      <c r="R24" s="126">
        <v>140</v>
      </c>
      <c r="S24" s="124"/>
      <c r="T24" s="124"/>
      <c r="U24" s="124"/>
      <c r="V24" s="124"/>
      <c r="W24" s="124"/>
      <c r="X24" s="124"/>
      <c r="Y24" s="124"/>
      <c r="Z24" s="124"/>
      <c r="AA24" s="124"/>
      <c r="AB24" s="124"/>
      <c r="AC24" s="124"/>
      <c r="AD24" s="124"/>
      <c r="AE24" s="124"/>
      <c r="AF24" s="124"/>
      <c r="AG24" s="124"/>
      <c r="AH24" s="124"/>
      <c r="AI24" s="122"/>
    </row>
    <row r="25" spans="2:35" ht="12.5">
      <c r="B25" s="37" t="s">
        <v>542</v>
      </c>
      <c r="C25" s="149"/>
      <c r="D25" s="121" cm="1">
        <f t="array" ref="D25">IF(C25="",IFERROR(Rates!$P25*Inflation,"NV"),C25)</f>
        <v>188.90532542944194</v>
      </c>
      <c r="E25" s="238" t="s">
        <v>525</v>
      </c>
      <c r="F25" s="14" t="s">
        <v>533</v>
      </c>
      <c r="G25" s="150"/>
      <c r="H25" s="129"/>
      <c r="J25" s="122">
        <f t="shared" si="0"/>
        <v>0</v>
      </c>
      <c r="K25" s="123">
        <f t="shared" si="2"/>
        <v>0</v>
      </c>
      <c r="L25" s="122">
        <f t="shared" si="3"/>
        <v>188.90532542944194</v>
      </c>
      <c r="M25" s="122">
        <f t="shared" si="5"/>
        <v>188.90532542944194</v>
      </c>
      <c r="N25" s="122">
        <f t="shared" si="4"/>
        <v>188.90532542944194</v>
      </c>
      <c r="O25" s="124" t="s">
        <v>506</v>
      </c>
      <c r="P25" s="122">
        <f>_xlfn.XLOOKUP(Rates!$O25,$J$6:$AI$6,J25:AI25)</f>
        <v>188.90532542944194</v>
      </c>
      <c r="Q25" s="124"/>
      <c r="R25" s="126">
        <v>188.90532542944194</v>
      </c>
      <c r="S25" s="124"/>
      <c r="T25" s="124"/>
      <c r="U25" s="124"/>
      <c r="V25" s="124"/>
      <c r="W25" s="124"/>
      <c r="X25" s="124"/>
      <c r="Y25" s="124"/>
      <c r="Z25" s="124"/>
      <c r="AA25" s="124"/>
      <c r="AB25" s="124"/>
      <c r="AC25" s="124"/>
      <c r="AD25" s="124"/>
      <c r="AE25" s="124"/>
      <c r="AF25" s="124"/>
      <c r="AG25" s="124"/>
      <c r="AH25" s="124"/>
      <c r="AI25" s="122"/>
    </row>
    <row r="26" spans="2:35" ht="13">
      <c r="B26" s="260" t="s">
        <v>543</v>
      </c>
      <c r="C26" s="100"/>
      <c r="H26" s="238"/>
      <c r="R26" s="365"/>
      <c r="AI26" s="366"/>
    </row>
    <row r="27" spans="2:35" ht="12.5">
      <c r="B27" s="14" t="s">
        <v>544</v>
      </c>
      <c r="C27" s="149"/>
      <c r="D27" s="121" cm="1">
        <f t="array" ref="D27">IF(C27="",IFERROR(Rates!$P27*Inflation,"NV"),C27)</f>
        <v>260</v>
      </c>
      <c r="E27" s="238" t="s">
        <v>525</v>
      </c>
      <c r="F27" s="128" t="s">
        <v>545</v>
      </c>
      <c r="G27" s="150"/>
      <c r="H27" s="132"/>
      <c r="J27" s="122">
        <f t="shared" ref="J27:J108" si="6">$N27-$L27</f>
        <v>0</v>
      </c>
      <c r="K27" s="123" t="str">
        <f t="shared" ref="K27:K86" si="7">IF(L27=0,"No min",$J27/$L27)</f>
        <v>No min</v>
      </c>
      <c r="L27" s="122">
        <f>MIN(R27:AH27)</f>
        <v>0</v>
      </c>
      <c r="M27" s="130" t="str">
        <f>IFERROR(AVERAGE(R27:AH27),"One / no rate")</f>
        <v>One / no rate</v>
      </c>
      <c r="N27" s="122">
        <f>MAX(R27:AH27)</f>
        <v>0</v>
      </c>
      <c r="O27" s="124" t="s">
        <v>522</v>
      </c>
      <c r="P27" s="122">
        <f>_xlfn.XLOOKUP(Rates!$O27,$J$6:$AI$6,J27:AI27)</f>
        <v>260</v>
      </c>
      <c r="Q27" s="124"/>
      <c r="R27" s="133"/>
      <c r="S27" s="126"/>
      <c r="T27" s="126"/>
      <c r="U27" s="126"/>
      <c r="V27" s="126"/>
      <c r="W27" s="126"/>
      <c r="X27" s="126"/>
      <c r="Y27" s="126"/>
      <c r="Z27" s="131"/>
      <c r="AA27" s="131"/>
      <c r="AB27" s="131"/>
      <c r="AC27" s="131"/>
      <c r="AD27" s="126"/>
      <c r="AE27" s="126"/>
      <c r="AF27" s="126"/>
      <c r="AG27" s="126"/>
      <c r="AH27" s="126"/>
      <c r="AI27" s="122">
        <v>260</v>
      </c>
    </row>
    <row r="28" spans="2:35" ht="12.5">
      <c r="B28" s="14" t="s">
        <v>546</v>
      </c>
      <c r="C28" s="149"/>
      <c r="D28" s="121" cm="1">
        <f t="array" ref="D28">IF(C28="",IFERROR(Rates!$P28*Inflation,"NV"),C28)</f>
        <v>432</v>
      </c>
      <c r="E28" s="238" t="s">
        <v>525</v>
      </c>
      <c r="F28" s="128" t="s">
        <v>545</v>
      </c>
      <c r="G28" s="150"/>
      <c r="H28" s="132"/>
      <c r="J28" s="122">
        <f t="shared" si="6"/>
        <v>0</v>
      </c>
      <c r="K28" s="123" t="str">
        <f t="shared" ref="K28:K32" si="8">IF(L28=0,"No min",$J28/$L28)</f>
        <v>No min</v>
      </c>
      <c r="L28" s="122">
        <f t="shared" ref="L28:L32" si="9">MIN(R28:AH28)</f>
        <v>0</v>
      </c>
      <c r="M28" s="130" t="str">
        <f t="shared" ref="M28:M32" si="10">IFERROR(AVERAGE(R28:AH28),"One / no rate")</f>
        <v>One / no rate</v>
      </c>
      <c r="N28" s="122">
        <f t="shared" ref="N28:N32" si="11">MAX(R28:AH28)</f>
        <v>0</v>
      </c>
      <c r="O28" s="124" t="s">
        <v>522</v>
      </c>
      <c r="P28" s="122">
        <f>_xlfn.XLOOKUP(Rates!$O28,$J$6:$AI$6,J28:AI28)</f>
        <v>432</v>
      </c>
      <c r="Q28" s="124"/>
      <c r="R28" s="133"/>
      <c r="S28" s="126"/>
      <c r="T28" s="126"/>
      <c r="U28" s="126"/>
      <c r="V28" s="126"/>
      <c r="W28" s="126"/>
      <c r="X28" s="126"/>
      <c r="Y28" s="126"/>
      <c r="Z28" s="131"/>
      <c r="AA28" s="131"/>
      <c r="AB28" s="131"/>
      <c r="AC28" s="131"/>
      <c r="AD28" s="126"/>
      <c r="AE28" s="126"/>
      <c r="AF28" s="126"/>
      <c r="AG28" s="126"/>
      <c r="AH28" s="126"/>
      <c r="AI28" s="122">
        <v>432</v>
      </c>
    </row>
    <row r="29" spans="2:35" ht="12.5">
      <c r="B29" s="14" t="s">
        <v>547</v>
      </c>
      <c r="C29" s="149"/>
      <c r="D29" s="121" cm="1">
        <f t="array" ref="D29">IF(C29="",IFERROR(Rates!$P29*Inflation,"NV"),C29)</f>
        <v>732</v>
      </c>
      <c r="E29" s="238" t="s">
        <v>525</v>
      </c>
      <c r="F29" s="128" t="s">
        <v>545</v>
      </c>
      <c r="G29" s="150"/>
      <c r="H29" s="132"/>
      <c r="J29" s="122">
        <f t="shared" si="6"/>
        <v>0</v>
      </c>
      <c r="K29" s="123" t="str">
        <f t="shared" si="8"/>
        <v>No min</v>
      </c>
      <c r="L29" s="122">
        <f t="shared" si="9"/>
        <v>0</v>
      </c>
      <c r="M29" s="130" t="str">
        <f t="shared" si="10"/>
        <v>One / no rate</v>
      </c>
      <c r="N29" s="122">
        <f t="shared" si="11"/>
        <v>0</v>
      </c>
      <c r="O29" s="124" t="s">
        <v>522</v>
      </c>
      <c r="P29" s="122">
        <f>_xlfn.XLOOKUP(Rates!$O29,$J$6:$AI$6,J29:AI29)</f>
        <v>732</v>
      </c>
      <c r="Q29" s="124"/>
      <c r="R29" s="124"/>
      <c r="S29" s="126"/>
      <c r="T29" s="126"/>
      <c r="U29" s="126"/>
      <c r="V29" s="126"/>
      <c r="W29" s="126"/>
      <c r="X29" s="126"/>
      <c r="Y29" s="126"/>
      <c r="Z29" s="131"/>
      <c r="AA29" s="131"/>
      <c r="AB29" s="131"/>
      <c r="AC29" s="131"/>
      <c r="AD29" s="126"/>
      <c r="AE29" s="126"/>
      <c r="AF29" s="126"/>
      <c r="AG29" s="126"/>
      <c r="AH29" s="126"/>
      <c r="AI29" s="122">
        <v>732</v>
      </c>
    </row>
    <row r="30" spans="2:35" ht="12.5">
      <c r="B30" s="14" t="s">
        <v>548</v>
      </c>
      <c r="C30" s="149"/>
      <c r="D30" s="121" cm="1">
        <f t="array" ref="D30">IF(C30="",IFERROR(Rates!$P30*Inflation,"NV"),C30)</f>
        <v>1000</v>
      </c>
      <c r="E30" s="238" t="s">
        <v>525</v>
      </c>
      <c r="F30" s="128" t="s">
        <v>545</v>
      </c>
      <c r="G30" s="150"/>
      <c r="H30" s="132"/>
      <c r="J30" s="122">
        <f t="shared" si="6"/>
        <v>0</v>
      </c>
      <c r="K30" s="123" t="str">
        <f t="shared" si="8"/>
        <v>No min</v>
      </c>
      <c r="L30" s="122">
        <f t="shared" si="9"/>
        <v>0</v>
      </c>
      <c r="M30" s="130" t="str">
        <f t="shared" si="10"/>
        <v>One / no rate</v>
      </c>
      <c r="N30" s="122">
        <f t="shared" si="11"/>
        <v>0</v>
      </c>
      <c r="O30" s="124" t="s">
        <v>522</v>
      </c>
      <c r="P30" s="122">
        <f>_xlfn.XLOOKUP(Rates!$O30,$J$6:$AI$6,J30:AI30)</f>
        <v>1000</v>
      </c>
      <c r="Q30" s="124"/>
      <c r="R30" s="124"/>
      <c r="S30" s="126"/>
      <c r="T30" s="126"/>
      <c r="U30" s="126"/>
      <c r="V30" s="126"/>
      <c r="W30" s="126"/>
      <c r="X30" s="126"/>
      <c r="Y30" s="126"/>
      <c r="Z30" s="131"/>
      <c r="AA30" s="131"/>
      <c r="AB30" s="131"/>
      <c r="AC30" s="131"/>
      <c r="AD30" s="126"/>
      <c r="AE30" s="126"/>
      <c r="AF30" s="126"/>
      <c r="AG30" s="126"/>
      <c r="AH30" s="126"/>
      <c r="AI30" s="122">
        <v>1000</v>
      </c>
    </row>
    <row r="31" spans="2:35" ht="12.5">
      <c r="B31" s="14" t="s">
        <v>549</v>
      </c>
      <c r="C31" s="149"/>
      <c r="D31" s="121" cm="1">
        <f t="array" ref="D31">IF(C31="",IFERROR(Rates!$P31*Inflation,"NV"),C31)</f>
        <v>1500</v>
      </c>
      <c r="E31" s="238" t="s">
        <v>525</v>
      </c>
      <c r="F31" s="128" t="s">
        <v>545</v>
      </c>
      <c r="G31" s="150"/>
      <c r="H31" s="132"/>
      <c r="J31" s="122">
        <f t="shared" si="6"/>
        <v>0</v>
      </c>
      <c r="K31" s="123" t="str">
        <f t="shared" si="8"/>
        <v>No min</v>
      </c>
      <c r="L31" s="122">
        <f t="shared" si="9"/>
        <v>0</v>
      </c>
      <c r="M31" s="130" t="str">
        <f t="shared" si="10"/>
        <v>One / no rate</v>
      </c>
      <c r="N31" s="122">
        <f t="shared" si="11"/>
        <v>0</v>
      </c>
      <c r="O31" s="124" t="s">
        <v>522</v>
      </c>
      <c r="P31" s="122">
        <f>_xlfn.XLOOKUP(Rates!$O31,$J$6:$AI$6,J31:AI31)</f>
        <v>1500</v>
      </c>
      <c r="Q31" s="124"/>
      <c r="R31" s="124"/>
      <c r="S31" s="126"/>
      <c r="T31" s="126"/>
      <c r="U31" s="126"/>
      <c r="V31" s="126"/>
      <c r="W31" s="126"/>
      <c r="X31" s="126"/>
      <c r="Y31" s="126"/>
      <c r="Z31" s="131"/>
      <c r="AA31" s="131"/>
      <c r="AB31" s="131"/>
      <c r="AC31" s="131"/>
      <c r="AD31" s="126"/>
      <c r="AE31" s="126"/>
      <c r="AF31" s="126"/>
      <c r="AG31" s="126"/>
      <c r="AH31" s="126"/>
      <c r="AI31" s="122">
        <v>1500</v>
      </c>
    </row>
    <row r="32" spans="2:35" ht="12.5">
      <c r="B32" s="14" t="s">
        <v>550</v>
      </c>
      <c r="C32" s="149"/>
      <c r="D32" s="121" cm="1">
        <f t="array" ref="D32">IF(C32="",IFERROR(Rates!$P32*Inflation,"NV"),C32)</f>
        <v>42</v>
      </c>
      <c r="E32" s="238" t="s">
        <v>525</v>
      </c>
      <c r="F32" s="128" t="s">
        <v>526</v>
      </c>
      <c r="G32" s="150"/>
      <c r="H32" s="132"/>
      <c r="J32" s="122">
        <f t="shared" si="6"/>
        <v>0</v>
      </c>
      <c r="K32" s="123" t="str">
        <f t="shared" si="8"/>
        <v>No min</v>
      </c>
      <c r="L32" s="122">
        <f t="shared" si="9"/>
        <v>0</v>
      </c>
      <c r="M32" s="130" t="str">
        <f t="shared" si="10"/>
        <v>One / no rate</v>
      </c>
      <c r="N32" s="122">
        <f t="shared" si="11"/>
        <v>0</v>
      </c>
      <c r="O32" s="124" t="s">
        <v>522</v>
      </c>
      <c r="P32" s="122">
        <f>_xlfn.XLOOKUP(Rates!$O32,$J$6:$AI$6,J32:AI32)</f>
        <v>42</v>
      </c>
      <c r="Q32" s="124"/>
      <c r="R32" s="124"/>
      <c r="S32" s="131"/>
      <c r="T32" s="131"/>
      <c r="U32" s="131"/>
      <c r="V32" s="131"/>
      <c r="W32" s="131"/>
      <c r="X32" s="131"/>
      <c r="Y32" s="131"/>
      <c r="Z32" s="131"/>
      <c r="AA32" s="131"/>
      <c r="AB32" s="131"/>
      <c r="AC32" s="131"/>
      <c r="AD32" s="131"/>
      <c r="AE32" s="131"/>
      <c r="AF32" s="131"/>
      <c r="AG32" s="131"/>
      <c r="AH32" s="131"/>
      <c r="AI32" s="122">
        <v>42</v>
      </c>
    </row>
    <row r="33" spans="2:35" ht="13">
      <c r="B33" s="260" t="s">
        <v>551</v>
      </c>
      <c r="C33" s="100"/>
      <c r="AI33" s="366"/>
    </row>
    <row r="34" spans="2:35" ht="12.5">
      <c r="B34" s="14" t="s">
        <v>552</v>
      </c>
      <c r="C34" s="149"/>
      <c r="D34" s="121" cm="1">
        <f t="array" ref="D34">IF(C34="",IFERROR(Rates!$P34*Inflation,"NV"),C34)</f>
        <v>185</v>
      </c>
      <c r="E34" s="238" t="s">
        <v>525</v>
      </c>
      <c r="F34" s="128" t="s">
        <v>1332</v>
      </c>
      <c r="G34" s="150"/>
      <c r="H34" s="132"/>
      <c r="J34" s="122">
        <f t="shared" si="6"/>
        <v>0</v>
      </c>
      <c r="K34" s="123">
        <f t="shared" si="7"/>
        <v>0</v>
      </c>
      <c r="L34" s="122">
        <f>MIN(R34:AH34)</f>
        <v>185</v>
      </c>
      <c r="M34" s="130">
        <f>IFERROR(AVERAGE(R34:AH34),"One / no rate")</f>
        <v>185</v>
      </c>
      <c r="N34" s="122">
        <f>MAX(R34:AH34)</f>
        <v>185</v>
      </c>
      <c r="O34" s="124" t="s">
        <v>509</v>
      </c>
      <c r="P34" s="122">
        <f>_xlfn.XLOOKUP(Rates!$O34,$J$6:$AI$6,J34:AI34)</f>
        <v>185</v>
      </c>
      <c r="Q34" s="134"/>
      <c r="R34" s="135"/>
      <c r="S34" s="136"/>
      <c r="T34" s="126"/>
      <c r="U34" s="126">
        <v>185</v>
      </c>
      <c r="V34" s="126"/>
      <c r="W34" s="126"/>
      <c r="X34" s="126"/>
      <c r="Y34" s="126"/>
      <c r="Z34" s="131"/>
      <c r="AA34" s="131"/>
      <c r="AB34" s="131"/>
      <c r="AC34" s="131"/>
      <c r="AD34" s="126"/>
      <c r="AE34" s="126"/>
      <c r="AF34" s="126"/>
      <c r="AG34" s="126"/>
      <c r="AH34" s="126"/>
      <c r="AI34" s="122">
        <v>370</v>
      </c>
    </row>
    <row r="35" spans="2:35" ht="13">
      <c r="B35" s="260" t="s">
        <v>553</v>
      </c>
      <c r="C35" s="100"/>
      <c r="AI35" s="366"/>
    </row>
    <row r="36" spans="2:35" ht="12.5">
      <c r="B36" s="14" t="s">
        <v>554</v>
      </c>
      <c r="C36" s="149"/>
      <c r="D36" s="121" cm="1">
        <f t="array" ref="D36">IF(C36="",IFERROR(Rates!$P36*Inflation,"NV"),C36)</f>
        <v>55</v>
      </c>
      <c r="E36" s="238" t="s">
        <v>525</v>
      </c>
      <c r="F36" s="128" t="s">
        <v>1161</v>
      </c>
      <c r="G36" s="150"/>
      <c r="H36" s="132"/>
      <c r="J36" s="122">
        <f t="shared" si="6"/>
        <v>215</v>
      </c>
      <c r="K36" s="123">
        <f t="shared" si="7"/>
        <v>3.9090909090909092</v>
      </c>
      <c r="L36" s="122">
        <f t="shared" ref="L36:L39" si="12">MIN(R36:AH36)</f>
        <v>55</v>
      </c>
      <c r="M36" s="130">
        <f>IFERROR(AVERAGE(R36:AH36),"One / no rate")</f>
        <v>162.5</v>
      </c>
      <c r="N36" s="122">
        <f t="shared" ref="N36:N39" si="13">MAX(R36:AH36)</f>
        <v>270</v>
      </c>
      <c r="O36" s="124" t="s">
        <v>509</v>
      </c>
      <c r="P36" s="122">
        <f>_xlfn.XLOOKUP(Rates!$O36,$J$6:$AI$6,J36:AI36)</f>
        <v>55</v>
      </c>
      <c r="Q36" s="124"/>
      <c r="R36" s="124"/>
      <c r="S36" s="126"/>
      <c r="T36" s="126">
        <v>270</v>
      </c>
      <c r="U36" s="126">
        <v>55</v>
      </c>
      <c r="V36" s="126"/>
      <c r="W36" s="126"/>
      <c r="X36" s="124"/>
      <c r="Y36" s="124"/>
      <c r="Z36" s="126"/>
      <c r="AA36" s="126"/>
      <c r="AB36" s="124"/>
      <c r="AC36" s="124"/>
      <c r="AD36" s="124"/>
      <c r="AE36" s="124"/>
      <c r="AF36" s="124"/>
      <c r="AG36" s="124"/>
      <c r="AH36" s="124"/>
      <c r="AI36" s="122"/>
    </row>
    <row r="37" spans="2:35" ht="12.5">
      <c r="B37" s="14" t="s">
        <v>555</v>
      </c>
      <c r="C37" s="149"/>
      <c r="D37" s="121" cm="1">
        <f t="array" ref="D37">IF(C37="",IFERROR(Rates!$P37*Inflation,"NV"),C37)</f>
        <v>90</v>
      </c>
      <c r="E37" s="238" t="s">
        <v>525</v>
      </c>
      <c r="F37" s="128" t="s">
        <v>1162</v>
      </c>
      <c r="G37" s="150"/>
      <c r="H37" s="132"/>
      <c r="J37" s="122">
        <f t="shared" si="6"/>
        <v>210</v>
      </c>
      <c r="K37" s="123">
        <f t="shared" si="7"/>
        <v>2.3333333333333335</v>
      </c>
      <c r="L37" s="122">
        <f t="shared" si="12"/>
        <v>90</v>
      </c>
      <c r="M37" s="122">
        <f t="shared" ref="M37:M39" si="14">AVERAGE(R37:AH37)</f>
        <v>195</v>
      </c>
      <c r="N37" s="122">
        <f t="shared" si="13"/>
        <v>300</v>
      </c>
      <c r="O37" s="124" t="s">
        <v>509</v>
      </c>
      <c r="P37" s="122">
        <f>_xlfn.XLOOKUP(Rates!$O37,$J$6:$AI$6,J37:AI37)</f>
        <v>90</v>
      </c>
      <c r="Q37" s="124"/>
      <c r="R37" s="137"/>
      <c r="S37" s="126"/>
      <c r="T37" s="126">
        <v>300</v>
      </c>
      <c r="U37" s="126">
        <v>90</v>
      </c>
      <c r="V37" s="126"/>
      <c r="W37" s="126"/>
      <c r="X37" s="126"/>
      <c r="Y37" s="126"/>
      <c r="Z37" s="131"/>
      <c r="AA37" s="131"/>
      <c r="AB37" s="131"/>
      <c r="AC37" s="131"/>
      <c r="AD37" s="126"/>
      <c r="AE37" s="126"/>
      <c r="AF37" s="126"/>
      <c r="AG37" s="126"/>
      <c r="AH37" s="126"/>
      <c r="AI37" s="122"/>
    </row>
    <row r="38" spans="2:35" ht="12.5">
      <c r="B38" s="14" t="s">
        <v>556</v>
      </c>
      <c r="C38" s="149"/>
      <c r="D38" s="121" cm="1">
        <f t="array" ref="D38">IF(C38="",IFERROR(Rates!$P38*Inflation,"NV"),C38)</f>
        <v>360</v>
      </c>
      <c r="E38" s="238" t="s">
        <v>525</v>
      </c>
      <c r="F38" s="128" t="s">
        <v>1321</v>
      </c>
      <c r="G38" s="150"/>
      <c r="H38" s="132"/>
      <c r="J38" s="122">
        <f t="shared" si="6"/>
        <v>0</v>
      </c>
      <c r="K38" s="123">
        <f t="shared" si="7"/>
        <v>0</v>
      </c>
      <c r="L38" s="122">
        <f t="shared" si="12"/>
        <v>456</v>
      </c>
      <c r="M38" s="122">
        <f t="shared" si="14"/>
        <v>456</v>
      </c>
      <c r="N38" s="122">
        <f t="shared" si="13"/>
        <v>456</v>
      </c>
      <c r="O38" s="124" t="s">
        <v>522</v>
      </c>
      <c r="P38" s="122">
        <f>_xlfn.XLOOKUP(Rates!$O38,$J$6:$AI$6,J38:AI38)</f>
        <v>360</v>
      </c>
      <c r="Q38" s="138"/>
      <c r="R38" s="139"/>
      <c r="S38" s="136"/>
      <c r="T38" s="126">
        <v>456</v>
      </c>
      <c r="U38" s="124"/>
      <c r="V38" s="124"/>
      <c r="W38" s="124"/>
      <c r="X38" s="124"/>
      <c r="Y38" s="124"/>
      <c r="Z38" s="124"/>
      <c r="AA38" s="124"/>
      <c r="AB38" s="124"/>
      <c r="AC38" s="124"/>
      <c r="AD38" s="124"/>
      <c r="AE38" s="124"/>
      <c r="AF38" s="124"/>
      <c r="AG38" s="124"/>
      <c r="AH38" s="124"/>
      <c r="AI38" s="122">
        <v>360</v>
      </c>
    </row>
    <row r="39" spans="2:35" ht="12.5">
      <c r="B39" s="14" t="s">
        <v>557</v>
      </c>
      <c r="C39" s="149"/>
      <c r="D39" s="121" cm="1">
        <f t="array" ref="D39">IF(C39="",IFERROR(Rates!$P39*Inflation,"NV"),C39)</f>
        <v>774</v>
      </c>
      <c r="E39" s="238" t="s">
        <v>525</v>
      </c>
      <c r="F39" s="128" t="s">
        <v>526</v>
      </c>
      <c r="G39" s="150"/>
      <c r="H39" s="132"/>
      <c r="J39" s="122">
        <f t="shared" si="6"/>
        <v>0</v>
      </c>
      <c r="K39" s="123">
        <f t="shared" ref="K39" si="15">IF(L39=0,"No min",$J39/$L39)</f>
        <v>0</v>
      </c>
      <c r="L39" s="122">
        <f t="shared" si="12"/>
        <v>774</v>
      </c>
      <c r="M39" s="122">
        <f t="shared" si="14"/>
        <v>774</v>
      </c>
      <c r="N39" s="122">
        <f t="shared" si="13"/>
        <v>774</v>
      </c>
      <c r="O39" s="124" t="s">
        <v>522</v>
      </c>
      <c r="P39" s="122">
        <f>_xlfn.XLOOKUP(Rates!$O39,$J$6:$AI$6,J39:AI39)</f>
        <v>774</v>
      </c>
      <c r="Q39" s="138"/>
      <c r="R39" s="139"/>
      <c r="S39" s="136"/>
      <c r="T39" s="126">
        <v>774</v>
      </c>
      <c r="U39" s="124"/>
      <c r="V39" s="124"/>
      <c r="W39" s="124"/>
      <c r="X39" s="124"/>
      <c r="Y39" s="124"/>
      <c r="Z39" s="124"/>
      <c r="AA39" s="124"/>
      <c r="AB39" s="124"/>
      <c r="AC39" s="124"/>
      <c r="AD39" s="124"/>
      <c r="AE39" s="124"/>
      <c r="AF39" s="124"/>
      <c r="AG39" s="124"/>
      <c r="AH39" s="124"/>
      <c r="AI39" s="122">
        <v>774</v>
      </c>
    </row>
    <row r="40" spans="2:35" ht="13">
      <c r="B40" s="260" t="s">
        <v>558</v>
      </c>
      <c r="C40" s="100"/>
      <c r="R40" s="367"/>
      <c r="AI40" s="366"/>
    </row>
    <row r="41" spans="2:35" ht="12.5">
      <c r="B41" s="14" t="s">
        <v>559</v>
      </c>
      <c r="C41" s="149"/>
      <c r="D41" s="121" cm="1">
        <f t="array" ref="D41">IF(C41="",IFERROR(Rates!$P41*Inflation,"NV"),C41)</f>
        <v>60</v>
      </c>
      <c r="E41" s="238" t="s">
        <v>525</v>
      </c>
      <c r="F41" s="128" t="s">
        <v>526</v>
      </c>
      <c r="G41" s="150"/>
      <c r="H41" s="132"/>
      <c r="J41" s="122">
        <f t="shared" si="6"/>
        <v>0</v>
      </c>
      <c r="K41" s="123">
        <f t="shared" si="7"/>
        <v>0</v>
      </c>
      <c r="L41" s="122">
        <f t="shared" ref="L41:L49" si="16">MIN(R41:AH41)</f>
        <v>60</v>
      </c>
      <c r="M41" s="130">
        <f>IFERROR(AVERAGE(R41:AH41),"One / no rate")</f>
        <v>60</v>
      </c>
      <c r="N41" s="122">
        <f t="shared" ref="N41:N49" si="17">MAX(R41:AH41)</f>
        <v>60</v>
      </c>
      <c r="O41" s="124" t="s">
        <v>522</v>
      </c>
      <c r="P41" s="122">
        <f>_xlfn.XLOOKUP(Rates!$O41,$J$6:$AI$6,J41:AI41)</f>
        <v>60</v>
      </c>
      <c r="Q41" s="124"/>
      <c r="R41" s="133"/>
      <c r="S41" s="126"/>
      <c r="T41" s="126">
        <v>60</v>
      </c>
      <c r="U41" s="124"/>
      <c r="V41" s="124"/>
      <c r="W41" s="124"/>
      <c r="X41" s="124"/>
      <c r="Y41" s="124"/>
      <c r="Z41" s="124"/>
      <c r="AA41" s="124"/>
      <c r="AB41" s="124"/>
      <c r="AC41" s="124"/>
      <c r="AD41" s="124"/>
      <c r="AE41" s="124"/>
      <c r="AF41" s="124"/>
      <c r="AG41" s="124"/>
      <c r="AH41" s="124"/>
      <c r="AI41" s="122">
        <v>60</v>
      </c>
    </row>
    <row r="42" spans="2:35" ht="12.5">
      <c r="B42" s="14" t="s">
        <v>560</v>
      </c>
      <c r="C42" s="149"/>
      <c r="D42" s="121" cm="1">
        <f t="array" ref="D42">IF(C42="",IFERROR(Rates!$P42*Inflation,"NV"),C42)</f>
        <v>72</v>
      </c>
      <c r="E42" s="238" t="s">
        <v>525</v>
      </c>
      <c r="F42" s="128" t="s">
        <v>526</v>
      </c>
      <c r="G42" s="150"/>
      <c r="H42" s="132"/>
      <c r="J42" s="122">
        <f t="shared" si="6"/>
        <v>0</v>
      </c>
      <c r="K42" s="123">
        <f t="shared" si="7"/>
        <v>0</v>
      </c>
      <c r="L42" s="122">
        <f t="shared" si="16"/>
        <v>72</v>
      </c>
      <c r="M42" s="122">
        <f t="shared" ref="M42:M49" si="18">AVERAGE(R42:AH42)</f>
        <v>72</v>
      </c>
      <c r="N42" s="122">
        <f t="shared" si="17"/>
        <v>72</v>
      </c>
      <c r="O42" s="124" t="s">
        <v>522</v>
      </c>
      <c r="P42" s="122">
        <f>_xlfn.XLOOKUP(Rates!$O42,$J$6:$AI$6,J42:AI42)</f>
        <v>72</v>
      </c>
      <c r="Q42" s="124"/>
      <c r="R42" s="124"/>
      <c r="S42" s="140"/>
      <c r="T42" s="126">
        <v>72</v>
      </c>
      <c r="U42" s="124"/>
      <c r="V42" s="124"/>
      <c r="W42" s="124"/>
      <c r="X42" s="124"/>
      <c r="Y42" s="124"/>
      <c r="Z42" s="124"/>
      <c r="AA42" s="124"/>
      <c r="AB42" s="124"/>
      <c r="AC42" s="124"/>
      <c r="AD42" s="124"/>
      <c r="AE42" s="124"/>
      <c r="AF42" s="124"/>
      <c r="AG42" s="124"/>
      <c r="AH42" s="124"/>
      <c r="AI42" s="122">
        <v>72</v>
      </c>
    </row>
    <row r="43" spans="2:35" ht="12.5">
      <c r="B43" s="14" t="s">
        <v>561</v>
      </c>
      <c r="C43" s="149"/>
      <c r="D43" s="121" cm="1">
        <f t="array" ref="D43">IF(C43="",IFERROR(Rates!$P43*Inflation,"NV"),C43)</f>
        <v>84</v>
      </c>
      <c r="E43" s="238" t="s">
        <v>525</v>
      </c>
      <c r="F43" s="128" t="s">
        <v>526</v>
      </c>
      <c r="G43" s="150"/>
      <c r="H43" s="132"/>
      <c r="J43" s="122">
        <f t="shared" si="6"/>
        <v>0</v>
      </c>
      <c r="K43" s="123">
        <f t="shared" si="7"/>
        <v>0</v>
      </c>
      <c r="L43" s="122">
        <f t="shared" si="16"/>
        <v>84</v>
      </c>
      <c r="M43" s="122">
        <f t="shared" si="18"/>
        <v>84</v>
      </c>
      <c r="N43" s="122">
        <f t="shared" si="17"/>
        <v>84</v>
      </c>
      <c r="O43" s="124" t="s">
        <v>522</v>
      </c>
      <c r="P43" s="122">
        <f>_xlfn.XLOOKUP(Rates!$O43,$J$6:$AI$6,J43:AI43)</f>
        <v>84</v>
      </c>
      <c r="Q43" s="124"/>
      <c r="R43" s="138"/>
      <c r="S43" s="141"/>
      <c r="T43" s="136">
        <v>84</v>
      </c>
      <c r="U43" s="124"/>
      <c r="V43" s="124"/>
      <c r="W43" s="124"/>
      <c r="X43" s="124"/>
      <c r="Y43" s="124"/>
      <c r="Z43" s="124"/>
      <c r="AA43" s="124"/>
      <c r="AB43" s="124"/>
      <c r="AC43" s="124"/>
      <c r="AD43" s="124"/>
      <c r="AE43" s="124"/>
      <c r="AF43" s="124"/>
      <c r="AG43" s="124"/>
      <c r="AH43" s="124"/>
      <c r="AI43" s="122">
        <v>84</v>
      </c>
    </row>
    <row r="44" spans="2:35" ht="12.5">
      <c r="B44" s="14" t="s">
        <v>562</v>
      </c>
      <c r="C44" s="149"/>
      <c r="D44" s="121" cm="1">
        <f t="array" ref="D44">IF(C44="",IFERROR(Rates!$P44*Inflation,"NV"),C44)</f>
        <v>60</v>
      </c>
      <c r="E44" s="238" t="s">
        <v>525</v>
      </c>
      <c r="F44" s="128" t="s">
        <v>526</v>
      </c>
      <c r="G44" s="150"/>
      <c r="H44" s="132"/>
      <c r="J44" s="122">
        <f t="shared" si="6"/>
        <v>0</v>
      </c>
      <c r="K44" s="123">
        <f t="shared" si="7"/>
        <v>0</v>
      </c>
      <c r="L44" s="122">
        <f t="shared" si="16"/>
        <v>60</v>
      </c>
      <c r="M44" s="122">
        <f t="shared" si="18"/>
        <v>60</v>
      </c>
      <c r="N44" s="122">
        <f t="shared" si="17"/>
        <v>60</v>
      </c>
      <c r="O44" s="124" t="s">
        <v>522</v>
      </c>
      <c r="P44" s="122">
        <f>_xlfn.XLOOKUP(Rates!$O44,$J$6:$AI$6,J44:AI44)</f>
        <v>60</v>
      </c>
      <c r="Q44" s="124"/>
      <c r="R44" s="138"/>
      <c r="S44" s="142"/>
      <c r="T44" s="136">
        <v>60</v>
      </c>
      <c r="U44" s="124"/>
      <c r="V44" s="124"/>
      <c r="W44" s="124"/>
      <c r="X44" s="124"/>
      <c r="Y44" s="124"/>
      <c r="Z44" s="124"/>
      <c r="AA44" s="124"/>
      <c r="AB44" s="124"/>
      <c r="AC44" s="124"/>
      <c r="AD44" s="124"/>
      <c r="AE44" s="124"/>
      <c r="AF44" s="124"/>
      <c r="AG44" s="124"/>
      <c r="AH44" s="124"/>
      <c r="AI44" s="122">
        <v>60</v>
      </c>
    </row>
    <row r="45" spans="2:35" ht="12.5">
      <c r="B45" s="14" t="s">
        <v>563</v>
      </c>
      <c r="C45" s="149"/>
      <c r="D45" s="121" cm="1">
        <f t="array" ref="D45">IF(C45="",IFERROR(Rates!$P45*Inflation,"NV"),C45)</f>
        <v>72</v>
      </c>
      <c r="E45" s="238" t="s">
        <v>525</v>
      </c>
      <c r="F45" s="128" t="s">
        <v>526</v>
      </c>
      <c r="G45" s="150"/>
      <c r="H45" s="132"/>
      <c r="J45" s="122">
        <f t="shared" si="6"/>
        <v>0</v>
      </c>
      <c r="K45" s="123">
        <f t="shared" si="7"/>
        <v>0</v>
      </c>
      <c r="L45" s="122">
        <f t="shared" si="16"/>
        <v>72</v>
      </c>
      <c r="M45" s="122">
        <f t="shared" si="18"/>
        <v>72</v>
      </c>
      <c r="N45" s="122">
        <f t="shared" si="17"/>
        <v>72</v>
      </c>
      <c r="O45" s="124" t="s">
        <v>522</v>
      </c>
      <c r="P45" s="122">
        <f>_xlfn.XLOOKUP(Rates!$O45,$J$6:$AI$6,J45:AI45)</f>
        <v>72</v>
      </c>
      <c r="Q45" s="124"/>
      <c r="R45" s="124"/>
      <c r="S45" s="143"/>
      <c r="T45" s="126">
        <v>72</v>
      </c>
      <c r="U45" s="124"/>
      <c r="V45" s="124"/>
      <c r="W45" s="124"/>
      <c r="X45" s="124"/>
      <c r="Y45" s="124"/>
      <c r="Z45" s="124"/>
      <c r="AA45" s="124"/>
      <c r="AB45" s="124"/>
      <c r="AC45" s="124"/>
      <c r="AD45" s="124"/>
      <c r="AE45" s="124"/>
      <c r="AF45" s="124"/>
      <c r="AG45" s="124"/>
      <c r="AH45" s="124"/>
      <c r="AI45" s="122">
        <v>72</v>
      </c>
    </row>
    <row r="46" spans="2:35" ht="12.5">
      <c r="B46" s="14" t="s">
        <v>564</v>
      </c>
      <c r="C46" s="149"/>
      <c r="D46" s="121" cm="1">
        <f t="array" ref="D46">IF(C46="",IFERROR(Rates!$P46*Inflation,"NV"),C46)</f>
        <v>114</v>
      </c>
      <c r="E46" s="238" t="s">
        <v>525</v>
      </c>
      <c r="F46" s="128" t="s">
        <v>526</v>
      </c>
      <c r="G46" s="150"/>
      <c r="H46" s="132"/>
      <c r="J46" s="122">
        <f t="shared" si="6"/>
        <v>0</v>
      </c>
      <c r="K46" s="123">
        <f t="shared" si="7"/>
        <v>0</v>
      </c>
      <c r="L46" s="122">
        <f t="shared" si="16"/>
        <v>114</v>
      </c>
      <c r="M46" s="122">
        <f t="shared" si="18"/>
        <v>114</v>
      </c>
      <c r="N46" s="122">
        <f t="shared" si="17"/>
        <v>114</v>
      </c>
      <c r="O46" s="124" t="s">
        <v>522</v>
      </c>
      <c r="P46" s="122">
        <f>_xlfn.XLOOKUP(Rates!$O46,$J$6:$AI$6,J46:AI46)</f>
        <v>114</v>
      </c>
      <c r="Q46" s="124"/>
      <c r="R46" s="124"/>
      <c r="S46" s="126"/>
      <c r="T46" s="126">
        <v>114</v>
      </c>
      <c r="U46" s="124"/>
      <c r="V46" s="124"/>
      <c r="W46" s="124"/>
      <c r="X46" s="124"/>
      <c r="Y46" s="124"/>
      <c r="Z46" s="124"/>
      <c r="AA46" s="124"/>
      <c r="AB46" s="124"/>
      <c r="AC46" s="124"/>
      <c r="AD46" s="124"/>
      <c r="AE46" s="124"/>
      <c r="AF46" s="124"/>
      <c r="AG46" s="124"/>
      <c r="AH46" s="124"/>
      <c r="AI46" s="122">
        <v>114</v>
      </c>
    </row>
    <row r="47" spans="2:35" ht="12.5">
      <c r="B47" s="14" t="s">
        <v>565</v>
      </c>
      <c r="C47" s="149"/>
      <c r="D47" s="121" cm="1">
        <f t="array" ref="D47">IF(C47="",IFERROR(Rates!$P47*Inflation,"NV"),C47)</f>
        <v>60</v>
      </c>
      <c r="E47" s="238" t="s">
        <v>525</v>
      </c>
      <c r="F47" s="128" t="s">
        <v>526</v>
      </c>
      <c r="G47" s="150"/>
      <c r="H47" s="132"/>
      <c r="J47" s="122">
        <f t="shared" si="6"/>
        <v>0</v>
      </c>
      <c r="K47" s="123">
        <f t="shared" si="7"/>
        <v>0</v>
      </c>
      <c r="L47" s="122">
        <f t="shared" si="16"/>
        <v>60</v>
      </c>
      <c r="M47" s="122">
        <f t="shared" si="18"/>
        <v>60</v>
      </c>
      <c r="N47" s="122">
        <f t="shared" si="17"/>
        <v>60</v>
      </c>
      <c r="O47" s="124" t="s">
        <v>522</v>
      </c>
      <c r="P47" s="122">
        <f>_xlfn.XLOOKUP(Rates!$O47,$J$6:$AI$6,J47:AI47)</f>
        <v>60</v>
      </c>
      <c r="Q47" s="124"/>
      <c r="R47" s="124"/>
      <c r="S47" s="126"/>
      <c r="T47" s="126">
        <v>60</v>
      </c>
      <c r="U47" s="124"/>
      <c r="V47" s="124"/>
      <c r="W47" s="124"/>
      <c r="X47" s="124"/>
      <c r="Y47" s="124"/>
      <c r="Z47" s="124"/>
      <c r="AA47" s="124"/>
      <c r="AB47" s="124"/>
      <c r="AC47" s="124"/>
      <c r="AD47" s="124"/>
      <c r="AE47" s="124"/>
      <c r="AF47" s="124"/>
      <c r="AG47" s="124"/>
      <c r="AH47" s="124"/>
      <c r="AI47" s="122">
        <v>60</v>
      </c>
    </row>
    <row r="48" spans="2:35" ht="12.5">
      <c r="B48" s="14" t="s">
        <v>566</v>
      </c>
      <c r="C48" s="149"/>
      <c r="D48" s="121" cm="1">
        <f t="array" ref="D48">IF(C48="",IFERROR(Rates!$P48*Inflation,"NV"),C48)</f>
        <v>72</v>
      </c>
      <c r="E48" s="238" t="s">
        <v>525</v>
      </c>
      <c r="F48" s="128" t="s">
        <v>526</v>
      </c>
      <c r="G48" s="150"/>
      <c r="H48" s="132"/>
      <c r="J48" s="122">
        <f t="shared" si="6"/>
        <v>0</v>
      </c>
      <c r="K48" s="123">
        <f t="shared" si="7"/>
        <v>0</v>
      </c>
      <c r="L48" s="122">
        <f t="shared" si="16"/>
        <v>72</v>
      </c>
      <c r="M48" s="122">
        <f t="shared" si="18"/>
        <v>72</v>
      </c>
      <c r="N48" s="122">
        <f t="shared" si="17"/>
        <v>72</v>
      </c>
      <c r="O48" s="124" t="s">
        <v>522</v>
      </c>
      <c r="P48" s="122">
        <f>_xlfn.XLOOKUP(Rates!$O48,$J$6:$AI$6,J48:AI48)</f>
        <v>72</v>
      </c>
      <c r="Q48" s="124"/>
      <c r="R48" s="124"/>
      <c r="S48" s="126"/>
      <c r="T48" s="126">
        <v>72</v>
      </c>
      <c r="U48" s="124"/>
      <c r="V48" s="124"/>
      <c r="W48" s="124"/>
      <c r="X48" s="124"/>
      <c r="Y48" s="124"/>
      <c r="Z48" s="124"/>
      <c r="AA48" s="124"/>
      <c r="AB48" s="124"/>
      <c r="AC48" s="124"/>
      <c r="AD48" s="124"/>
      <c r="AE48" s="124"/>
      <c r="AF48" s="124"/>
      <c r="AG48" s="124"/>
      <c r="AH48" s="124"/>
      <c r="AI48" s="122">
        <v>72</v>
      </c>
    </row>
    <row r="49" spans="2:35" ht="12.5">
      <c r="B49" s="14" t="s">
        <v>567</v>
      </c>
      <c r="C49" s="149"/>
      <c r="D49" s="121" cm="1">
        <f t="array" ref="D49">IF(C49="",IFERROR(Rates!$P49*Inflation,"NV"),C49)</f>
        <v>84</v>
      </c>
      <c r="E49" s="238" t="s">
        <v>525</v>
      </c>
      <c r="F49" s="128" t="s">
        <v>526</v>
      </c>
      <c r="G49" s="150"/>
      <c r="H49" s="132"/>
      <c r="J49" s="122">
        <f t="shared" si="6"/>
        <v>0</v>
      </c>
      <c r="K49" s="123">
        <f t="shared" si="7"/>
        <v>0</v>
      </c>
      <c r="L49" s="122">
        <f t="shared" si="16"/>
        <v>84</v>
      </c>
      <c r="M49" s="122">
        <f t="shared" si="18"/>
        <v>84</v>
      </c>
      <c r="N49" s="122">
        <f t="shared" si="17"/>
        <v>84</v>
      </c>
      <c r="O49" s="124" t="s">
        <v>522</v>
      </c>
      <c r="P49" s="122">
        <f>_xlfn.XLOOKUP(Rates!$O49,$J$6:$AI$6,J49:AI49)</f>
        <v>84</v>
      </c>
      <c r="Q49" s="124"/>
      <c r="R49" s="124"/>
      <c r="S49" s="126"/>
      <c r="T49" s="126">
        <v>84</v>
      </c>
      <c r="U49" s="124"/>
      <c r="V49" s="124"/>
      <c r="W49" s="124"/>
      <c r="X49" s="124"/>
      <c r="Y49" s="124"/>
      <c r="Z49" s="124"/>
      <c r="AA49" s="124"/>
      <c r="AB49" s="124"/>
      <c r="AC49" s="124"/>
      <c r="AD49" s="124"/>
      <c r="AE49" s="124"/>
      <c r="AF49" s="124"/>
      <c r="AG49" s="124"/>
      <c r="AH49" s="124"/>
      <c r="AI49" s="122">
        <v>84</v>
      </c>
    </row>
    <row r="50" spans="2:35" ht="13">
      <c r="B50" s="260" t="s">
        <v>1009</v>
      </c>
      <c r="C50" s="100"/>
      <c r="H50" s="238"/>
      <c r="R50" s="367"/>
      <c r="AI50" s="366"/>
    </row>
    <row r="51" spans="2:35" ht="12.5">
      <c r="B51" s="14" t="s">
        <v>1086</v>
      </c>
      <c r="C51" s="149"/>
      <c r="D51" s="121" cm="1">
        <f t="array" ref="D51">IF(C51="",IFERROR(Rates!$P51*Inflation,"NV"),C51)</f>
        <v>2000</v>
      </c>
      <c r="E51" s="238" t="s">
        <v>361</v>
      </c>
      <c r="F51" s="128"/>
      <c r="G51" s="150"/>
      <c r="H51" s="132"/>
      <c r="J51" s="122">
        <f t="shared" si="6"/>
        <v>0</v>
      </c>
      <c r="K51" s="123" t="str">
        <f t="shared" ref="K51" si="19">IF(L51=0,"No min",$J51/$L51)</f>
        <v>No min</v>
      </c>
      <c r="L51" s="122">
        <f>MIN(R51:AH51)</f>
        <v>0</v>
      </c>
      <c r="M51" s="130" t="str">
        <f>IFERROR(AVERAGE(R51:AH51),"One / no rate")</f>
        <v>One / no rate</v>
      </c>
      <c r="N51" s="122">
        <f>MAX(R51:AH51)</f>
        <v>0</v>
      </c>
      <c r="O51" s="124" t="s">
        <v>522</v>
      </c>
      <c r="P51" s="122">
        <f>_xlfn.XLOOKUP(Rates!$O51,$J$6:$AI$6,J51:AI51)</f>
        <v>2000</v>
      </c>
      <c r="Q51" s="124"/>
      <c r="R51" s="124"/>
      <c r="S51" s="126"/>
      <c r="T51" s="126"/>
      <c r="U51" s="124"/>
      <c r="V51" s="124"/>
      <c r="W51" s="124"/>
      <c r="X51" s="124"/>
      <c r="Y51" s="124"/>
      <c r="Z51" s="124"/>
      <c r="AA51" s="124"/>
      <c r="AB51" s="124"/>
      <c r="AC51" s="124"/>
      <c r="AD51" s="124"/>
      <c r="AE51" s="124"/>
      <c r="AF51" s="124"/>
      <c r="AG51" s="124"/>
      <c r="AH51" s="124"/>
      <c r="AI51" s="122">
        <v>2000</v>
      </c>
    </row>
    <row r="52" spans="2:35" ht="13">
      <c r="B52" s="260" t="s">
        <v>568</v>
      </c>
      <c r="C52" s="100"/>
      <c r="AI52" s="366"/>
    </row>
    <row r="53" spans="2:35" ht="12.5">
      <c r="B53" s="14" t="s">
        <v>569</v>
      </c>
      <c r="C53" s="149"/>
      <c r="D53" s="121" cm="1">
        <f t="array" ref="D53">IF(C53="",IFERROR(Rates!$P53*Inflation,"NV"),C53)</f>
        <v>65</v>
      </c>
      <c r="E53" s="238" t="s">
        <v>525</v>
      </c>
      <c r="F53" s="128" t="s">
        <v>1160</v>
      </c>
      <c r="G53" s="150"/>
      <c r="H53" s="132"/>
      <c r="J53" s="122">
        <f t="shared" si="6"/>
        <v>187</v>
      </c>
      <c r="K53" s="123">
        <f t="shared" si="7"/>
        <v>2.8769230769230769</v>
      </c>
      <c r="L53" s="122">
        <f t="shared" ref="L53:L54" si="20">MIN(R53:AH53)</f>
        <v>65</v>
      </c>
      <c r="M53" s="130">
        <f>IFERROR(AVERAGE(R53:AH53),"One / no rate")</f>
        <v>158.5</v>
      </c>
      <c r="N53" s="122">
        <f t="shared" ref="N53:N54" si="21">MAX(R53:AH53)</f>
        <v>252</v>
      </c>
      <c r="O53" s="124" t="s">
        <v>509</v>
      </c>
      <c r="P53" s="122">
        <f>_xlfn.XLOOKUP(Rates!$O53,$J$6:$AI$6,J53:AI53)</f>
        <v>65</v>
      </c>
      <c r="Q53" s="124"/>
      <c r="R53" s="124"/>
      <c r="S53" s="126"/>
      <c r="T53" s="126">
        <v>252</v>
      </c>
      <c r="U53" s="126">
        <v>65</v>
      </c>
      <c r="V53" s="126"/>
      <c r="W53" s="126"/>
      <c r="X53" s="126"/>
      <c r="Y53" s="126"/>
      <c r="Z53" s="131"/>
      <c r="AA53" s="131"/>
      <c r="AB53" s="131"/>
      <c r="AC53" s="131"/>
      <c r="AD53" s="126"/>
      <c r="AE53" s="126"/>
      <c r="AF53" s="126"/>
      <c r="AG53" s="126"/>
      <c r="AH53" s="126"/>
      <c r="AI53" s="122"/>
    </row>
    <row r="54" spans="2:35" ht="12.5">
      <c r="B54" s="14" t="s">
        <v>570</v>
      </c>
      <c r="C54" s="149"/>
      <c r="D54" s="121" cm="1">
        <f t="array" ref="D54">IF(C54="",IFERROR(Rates!$P54*Inflation,"NV"),C54)</f>
        <v>70</v>
      </c>
      <c r="E54" s="238" t="s">
        <v>525</v>
      </c>
      <c r="F54" s="128" t="s">
        <v>1160</v>
      </c>
      <c r="G54" s="150"/>
      <c r="H54" s="132"/>
      <c r="J54" s="122">
        <f t="shared" si="6"/>
        <v>194</v>
      </c>
      <c r="K54" s="123">
        <f t="shared" si="7"/>
        <v>2.7714285714285714</v>
      </c>
      <c r="L54" s="122">
        <f t="shared" si="20"/>
        <v>70</v>
      </c>
      <c r="M54" s="122">
        <f t="shared" ref="M54" si="22">AVERAGE(R54:AH54)</f>
        <v>167</v>
      </c>
      <c r="N54" s="122">
        <f t="shared" si="21"/>
        <v>264</v>
      </c>
      <c r="O54" s="124" t="s">
        <v>509</v>
      </c>
      <c r="P54" s="122">
        <f>_xlfn.XLOOKUP(Rates!$O54,$J$6:$AI$6,J54:AI54)</f>
        <v>70</v>
      </c>
      <c r="Q54" s="124"/>
      <c r="R54" s="124"/>
      <c r="S54" s="126"/>
      <c r="T54" s="126">
        <v>264</v>
      </c>
      <c r="U54" s="126">
        <v>70</v>
      </c>
      <c r="V54" s="126"/>
      <c r="W54" s="126"/>
      <c r="X54" s="126"/>
      <c r="Y54" s="126"/>
      <c r="Z54" s="131"/>
      <c r="AA54" s="131"/>
      <c r="AB54" s="131"/>
      <c r="AC54" s="131"/>
      <c r="AD54" s="126"/>
      <c r="AE54" s="126"/>
      <c r="AF54" s="126"/>
      <c r="AG54" s="126"/>
      <c r="AH54" s="126"/>
      <c r="AI54" s="122"/>
    </row>
    <row r="55" spans="2:35" ht="13">
      <c r="B55" s="260" t="s">
        <v>571</v>
      </c>
      <c r="C55" s="100"/>
      <c r="AI55" s="366"/>
    </row>
    <row r="56" spans="2:35" ht="12.5">
      <c r="B56" s="14" t="s">
        <v>572</v>
      </c>
      <c r="C56" s="149"/>
      <c r="D56" s="121" cm="1">
        <f t="array" ref="D56">IF(C56="",IFERROR(Rates!$P56*Inflation,"NV"),C56)</f>
        <v>900</v>
      </c>
      <c r="E56" s="238" t="s">
        <v>573</v>
      </c>
      <c r="F56" s="144" t="s">
        <v>574</v>
      </c>
      <c r="G56" s="150"/>
      <c r="H56" s="132"/>
      <c r="J56" s="122">
        <f>$N56-$L56</f>
        <v>0</v>
      </c>
      <c r="K56" s="123" t="str">
        <f>IF(L56=0,"No min",$J56/$L56)</f>
        <v>No min</v>
      </c>
      <c r="L56" s="122">
        <f t="shared" ref="L56:L57" si="23">MIN(R56:AH56)</f>
        <v>0</v>
      </c>
      <c r="M56" s="130" t="str">
        <f>IFERROR(AVERAGE(R56:AH56),"One / no rate")</f>
        <v>One / no rate</v>
      </c>
      <c r="N56" s="122">
        <f t="shared" ref="N56:N57" si="24">MAX(R56:AH56)</f>
        <v>0</v>
      </c>
      <c r="O56" s="124" t="s">
        <v>522</v>
      </c>
      <c r="P56" s="122">
        <f>_xlfn.XLOOKUP(Rates!$O56,$J$6:$AI$6,J56:AI56)</f>
        <v>900</v>
      </c>
      <c r="Q56" s="124"/>
      <c r="R56" s="122"/>
      <c r="S56" s="122"/>
      <c r="T56" s="122"/>
      <c r="U56" s="122"/>
      <c r="V56" s="122"/>
      <c r="W56" s="122"/>
      <c r="X56" s="122"/>
      <c r="Y56" s="122"/>
      <c r="Z56" s="122"/>
      <c r="AA56" s="122"/>
      <c r="AB56" s="122"/>
      <c r="AC56" s="122"/>
      <c r="AD56" s="122"/>
      <c r="AE56" s="122"/>
      <c r="AF56" s="122"/>
      <c r="AG56" s="122"/>
      <c r="AH56" s="122"/>
      <c r="AI56" s="122">
        <v>900</v>
      </c>
    </row>
    <row r="57" spans="2:35" ht="12.5">
      <c r="B57" s="14" t="s">
        <v>575</v>
      </c>
      <c r="C57" s="149"/>
      <c r="D57" s="121" cm="1">
        <f t="array" ref="D57">IF(C57="",IFERROR(Rates!$P57*Inflation,"NV"),C57)</f>
        <v>600</v>
      </c>
      <c r="E57" s="238" t="s">
        <v>573</v>
      </c>
      <c r="F57" s="144" t="s">
        <v>574</v>
      </c>
      <c r="G57" s="150"/>
      <c r="H57" s="132"/>
      <c r="J57" s="122">
        <f>$N57-$L57</f>
        <v>0</v>
      </c>
      <c r="K57" s="123" t="str">
        <f>IF(L57=0,"No min",$J57/$L57)</f>
        <v>No min</v>
      </c>
      <c r="L57" s="122">
        <f t="shared" si="23"/>
        <v>0</v>
      </c>
      <c r="M57" s="130" t="str">
        <f>IFERROR(AVERAGE(R57:AH57),"One / no rate")</f>
        <v>One / no rate</v>
      </c>
      <c r="N57" s="122">
        <f t="shared" si="24"/>
        <v>0</v>
      </c>
      <c r="O57" s="124" t="s">
        <v>522</v>
      </c>
      <c r="P57" s="122">
        <f>_xlfn.XLOOKUP(Rates!$O57,$J$6:$AI$6,J57:AI57)</f>
        <v>600</v>
      </c>
      <c r="Q57" s="124"/>
      <c r="R57" s="122"/>
      <c r="S57" s="122"/>
      <c r="T57" s="122"/>
      <c r="U57" s="122"/>
      <c r="V57" s="122"/>
      <c r="W57" s="122"/>
      <c r="X57" s="122"/>
      <c r="Y57" s="122"/>
      <c r="Z57" s="122"/>
      <c r="AA57" s="122"/>
      <c r="AB57" s="122"/>
      <c r="AC57" s="122"/>
      <c r="AD57" s="122"/>
      <c r="AE57" s="122"/>
      <c r="AF57" s="122"/>
      <c r="AG57" s="122"/>
      <c r="AH57" s="122"/>
      <c r="AI57" s="122">
        <v>600</v>
      </c>
    </row>
    <row r="58" spans="2:35" ht="13">
      <c r="B58" s="260" t="s">
        <v>576</v>
      </c>
      <c r="C58" s="100"/>
      <c r="AI58" s="366"/>
    </row>
    <row r="59" spans="2:35" ht="12.5">
      <c r="B59" s="14" t="s">
        <v>577</v>
      </c>
      <c r="C59" s="149"/>
      <c r="D59" s="121" cm="1">
        <f t="array" ref="D59">IF(C59="",IFERROR(Rates!$P59*Inflation,"NV"),C59)</f>
        <v>165</v>
      </c>
      <c r="E59" s="238" t="s">
        <v>573</v>
      </c>
      <c r="F59" s="144" t="s">
        <v>574</v>
      </c>
      <c r="G59" s="150"/>
      <c r="H59" s="132"/>
      <c r="J59" s="122">
        <f>$N59-$L59</f>
        <v>0</v>
      </c>
      <c r="K59" s="123" t="str">
        <f>IF(L59=0,"No min",$J59/$L59)</f>
        <v>No min</v>
      </c>
      <c r="L59" s="122">
        <f>MIN(R59:AH59)</f>
        <v>0</v>
      </c>
      <c r="M59" s="130" t="str">
        <f>IFERROR(AVERAGE(R59:AH59),"One / no rate")</f>
        <v>One / no rate</v>
      </c>
      <c r="N59" s="122">
        <f>MAX(R59:AH59)</f>
        <v>0</v>
      </c>
      <c r="O59" s="124" t="s">
        <v>522</v>
      </c>
      <c r="P59" s="122">
        <f>_xlfn.XLOOKUP(Rates!$O59,$J$6:$AI$6,J59:AI59)</f>
        <v>165</v>
      </c>
      <c r="Q59" s="124"/>
      <c r="R59" s="122"/>
      <c r="S59" s="122"/>
      <c r="T59" s="122"/>
      <c r="U59" s="122"/>
      <c r="V59" s="122"/>
      <c r="W59" s="122"/>
      <c r="X59" s="122"/>
      <c r="Y59" s="122"/>
      <c r="Z59" s="122"/>
      <c r="AA59" s="122"/>
      <c r="AB59" s="122"/>
      <c r="AC59" s="122"/>
      <c r="AD59" s="122"/>
      <c r="AE59" s="122"/>
      <c r="AF59" s="122"/>
      <c r="AG59" s="122"/>
      <c r="AH59" s="122"/>
      <c r="AI59" s="122">
        <v>165</v>
      </c>
    </row>
    <row r="60" spans="2:35" ht="13">
      <c r="B60" s="260" t="s">
        <v>578</v>
      </c>
      <c r="C60" s="100"/>
      <c r="AI60" s="366"/>
    </row>
    <row r="61" spans="2:35" ht="12.5">
      <c r="B61" s="14" t="s">
        <v>473</v>
      </c>
      <c r="C61" s="149"/>
      <c r="D61" s="121" cm="1">
        <f t="array" ref="D61">IF(C61="",IFERROR(Rates!$P61*Inflation,"NV"),C61)</f>
        <v>17.649999999999999</v>
      </c>
      <c r="E61" s="238" t="s">
        <v>579</v>
      </c>
      <c r="F61" s="128"/>
      <c r="G61" s="150"/>
      <c r="H61" s="132"/>
      <c r="J61" s="122">
        <f t="shared" ref="J61:J68" si="25">$N61-$L61</f>
        <v>0</v>
      </c>
      <c r="K61" s="123">
        <f t="shared" ref="K61:K68" si="26">IF(L61=0,"No min",$J61/$L61)</f>
        <v>0</v>
      </c>
      <c r="L61" s="122">
        <f t="shared" ref="L61:L68" si="27">MIN(R61:AH61)</f>
        <v>17.649999999999999</v>
      </c>
      <c r="M61" s="130">
        <f>IFERROR(AVERAGE(R61:AH61),"One / no rate")</f>
        <v>17.649999999999999</v>
      </c>
      <c r="N61" s="122">
        <f t="shared" ref="N61:N68" si="28">MAX(R61:AH61)</f>
        <v>17.649999999999999</v>
      </c>
      <c r="O61" s="124" t="s">
        <v>521</v>
      </c>
      <c r="P61" s="122">
        <f>_xlfn.XLOOKUP(Rates!$O61,$J$6:$AI$6,J61:AI61)</f>
        <v>17.649999999999999</v>
      </c>
      <c r="Q61" s="124"/>
      <c r="R61" s="122"/>
      <c r="S61" s="122"/>
      <c r="T61" s="122"/>
      <c r="U61" s="122"/>
      <c r="V61" s="122"/>
      <c r="W61" s="122"/>
      <c r="X61" s="122"/>
      <c r="Y61" s="122"/>
      <c r="Z61" s="122"/>
      <c r="AA61" s="122"/>
      <c r="AB61" s="122"/>
      <c r="AC61" s="122"/>
      <c r="AD61" s="122"/>
      <c r="AE61" s="122"/>
      <c r="AF61" s="122"/>
      <c r="AG61" s="122">
        <v>17.649999999999999</v>
      </c>
      <c r="AH61" s="122"/>
      <c r="AI61" s="122"/>
    </row>
    <row r="62" spans="2:35" ht="12.5">
      <c r="B62" s="14" t="s">
        <v>474</v>
      </c>
      <c r="C62" s="149"/>
      <c r="D62" s="121" cm="1">
        <f t="array" ref="D62">IF(C62="",IFERROR(Rates!$P62*Inflation,"NV"),C62)</f>
        <v>920</v>
      </c>
      <c r="E62" s="238" t="s">
        <v>579</v>
      </c>
      <c r="F62" s="128"/>
      <c r="G62" s="150"/>
      <c r="H62" s="132"/>
      <c r="J62" s="122">
        <f t="shared" si="25"/>
        <v>0</v>
      </c>
      <c r="K62" s="123">
        <f t="shared" si="26"/>
        <v>0</v>
      </c>
      <c r="L62" s="122">
        <f t="shared" si="27"/>
        <v>920</v>
      </c>
      <c r="M62" s="122">
        <f t="shared" ref="M62:M68" si="29">AVERAGE(R62:AH62)</f>
        <v>920</v>
      </c>
      <c r="N62" s="122">
        <f t="shared" si="28"/>
        <v>920</v>
      </c>
      <c r="O62" s="124" t="s">
        <v>521</v>
      </c>
      <c r="P62" s="122">
        <f>_xlfn.XLOOKUP(Rates!$O62,$J$6:$AI$6,J62:AI62)</f>
        <v>920</v>
      </c>
      <c r="Q62" s="124"/>
      <c r="R62" s="122"/>
      <c r="S62" s="122"/>
      <c r="T62" s="122"/>
      <c r="U62" s="122"/>
      <c r="V62" s="122"/>
      <c r="W62" s="122"/>
      <c r="X62" s="122"/>
      <c r="Y62" s="122"/>
      <c r="Z62" s="122"/>
      <c r="AA62" s="122"/>
      <c r="AB62" s="122"/>
      <c r="AC62" s="122"/>
      <c r="AD62" s="122"/>
      <c r="AE62" s="122"/>
      <c r="AF62" s="122"/>
      <c r="AG62" s="122">
        <v>920</v>
      </c>
      <c r="AH62" s="122"/>
      <c r="AI62" s="122"/>
    </row>
    <row r="63" spans="2:35" ht="12.5">
      <c r="B63" s="14" t="s">
        <v>475</v>
      </c>
      <c r="C63" s="149"/>
      <c r="D63" s="121" cm="1">
        <f t="array" ref="D63">IF(C63="",IFERROR(Rates!$P63*Inflation,"NV"),C63)</f>
        <v>17.649999999999999</v>
      </c>
      <c r="E63" s="238" t="s">
        <v>579</v>
      </c>
      <c r="F63" s="128"/>
      <c r="G63" s="150"/>
      <c r="H63" s="132"/>
      <c r="J63" s="122">
        <f t="shared" si="25"/>
        <v>0</v>
      </c>
      <c r="K63" s="123">
        <f t="shared" si="26"/>
        <v>0</v>
      </c>
      <c r="L63" s="122">
        <f t="shared" si="27"/>
        <v>17.649999999999999</v>
      </c>
      <c r="M63" s="122">
        <f t="shared" si="29"/>
        <v>17.649999999999999</v>
      </c>
      <c r="N63" s="122">
        <f t="shared" si="28"/>
        <v>17.649999999999999</v>
      </c>
      <c r="O63" s="124" t="s">
        <v>521</v>
      </c>
      <c r="P63" s="122">
        <f>_xlfn.XLOOKUP(Rates!$O63,$J$6:$AI$6,J63:AI63)</f>
        <v>17.649999999999999</v>
      </c>
      <c r="Q63" s="124"/>
      <c r="R63" s="122"/>
      <c r="S63" s="122"/>
      <c r="T63" s="122"/>
      <c r="U63" s="122"/>
      <c r="V63" s="122"/>
      <c r="W63" s="122"/>
      <c r="X63" s="122"/>
      <c r="Y63" s="122"/>
      <c r="Z63" s="122"/>
      <c r="AA63" s="122"/>
      <c r="AB63" s="122"/>
      <c r="AC63" s="122"/>
      <c r="AD63" s="122"/>
      <c r="AE63" s="122"/>
      <c r="AF63" s="122"/>
      <c r="AG63" s="122">
        <v>17.649999999999999</v>
      </c>
      <c r="AH63" s="122"/>
      <c r="AI63" s="122"/>
    </row>
    <row r="64" spans="2:35" ht="12.5">
      <c r="B64" s="14" t="s">
        <v>476</v>
      </c>
      <c r="C64" s="149"/>
      <c r="D64" s="121" cm="1">
        <f t="array" ref="D64">IF(C64="",IFERROR(Rates!$P64*Inflation,"NV"),C64)</f>
        <v>920</v>
      </c>
      <c r="E64" s="238" t="s">
        <v>579</v>
      </c>
      <c r="F64" s="128"/>
      <c r="G64" s="150"/>
      <c r="H64" s="132"/>
      <c r="J64" s="122">
        <f t="shared" si="25"/>
        <v>0</v>
      </c>
      <c r="K64" s="123">
        <f t="shared" si="26"/>
        <v>0</v>
      </c>
      <c r="L64" s="122">
        <f t="shared" si="27"/>
        <v>920</v>
      </c>
      <c r="M64" s="122">
        <f t="shared" si="29"/>
        <v>920</v>
      </c>
      <c r="N64" s="122">
        <f t="shared" si="28"/>
        <v>920</v>
      </c>
      <c r="O64" s="124" t="s">
        <v>521</v>
      </c>
      <c r="P64" s="122">
        <f>_xlfn.XLOOKUP(Rates!$O64,$J$6:$AI$6,J64:AI64)</f>
        <v>920</v>
      </c>
      <c r="Q64" s="124"/>
      <c r="R64" s="122"/>
      <c r="S64" s="122"/>
      <c r="T64" s="122"/>
      <c r="U64" s="122"/>
      <c r="V64" s="122"/>
      <c r="W64" s="122"/>
      <c r="X64" s="122"/>
      <c r="Y64" s="122"/>
      <c r="Z64" s="122"/>
      <c r="AA64" s="122"/>
      <c r="AB64" s="122"/>
      <c r="AC64" s="122"/>
      <c r="AD64" s="122"/>
      <c r="AE64" s="122"/>
      <c r="AF64" s="122"/>
      <c r="AG64" s="122">
        <v>920</v>
      </c>
      <c r="AH64" s="122"/>
      <c r="AI64" s="122"/>
    </row>
    <row r="65" spans="2:35" ht="12.5">
      <c r="B65" s="14" t="s">
        <v>477</v>
      </c>
      <c r="C65" s="149"/>
      <c r="D65" s="121" cm="1">
        <f t="array" ref="D65">IF(C65="",IFERROR(Rates!$P65*Inflation,"NV"),C65)</f>
        <v>17.649999999999999</v>
      </c>
      <c r="E65" s="238" t="s">
        <v>579</v>
      </c>
      <c r="F65" s="128"/>
      <c r="G65" s="150"/>
      <c r="H65" s="132"/>
      <c r="J65" s="122">
        <f t="shared" si="25"/>
        <v>0</v>
      </c>
      <c r="K65" s="123">
        <f t="shared" si="26"/>
        <v>0</v>
      </c>
      <c r="L65" s="122">
        <f t="shared" si="27"/>
        <v>17.649999999999999</v>
      </c>
      <c r="M65" s="122">
        <f t="shared" si="29"/>
        <v>17.649999999999999</v>
      </c>
      <c r="N65" s="122">
        <f t="shared" si="28"/>
        <v>17.649999999999999</v>
      </c>
      <c r="O65" s="124" t="s">
        <v>521</v>
      </c>
      <c r="P65" s="122">
        <f>_xlfn.XLOOKUP(Rates!$O65,$J$6:$AI$6,J65:AI65)</f>
        <v>17.649999999999999</v>
      </c>
      <c r="Q65" s="124"/>
      <c r="R65" s="122"/>
      <c r="S65" s="122"/>
      <c r="T65" s="122"/>
      <c r="U65" s="122"/>
      <c r="V65" s="122"/>
      <c r="W65" s="122"/>
      <c r="X65" s="122"/>
      <c r="Y65" s="122"/>
      <c r="Z65" s="122"/>
      <c r="AA65" s="122"/>
      <c r="AB65" s="122"/>
      <c r="AC65" s="122"/>
      <c r="AD65" s="122"/>
      <c r="AE65" s="122"/>
      <c r="AF65" s="122"/>
      <c r="AG65" s="122">
        <v>17.649999999999999</v>
      </c>
      <c r="AH65" s="122"/>
      <c r="AI65" s="122"/>
    </row>
    <row r="66" spans="2:35" ht="12.5">
      <c r="B66" s="14" t="s">
        <v>478</v>
      </c>
      <c r="C66" s="149"/>
      <c r="D66" s="121" cm="1">
        <f t="array" ref="D66">IF(C66="",IFERROR(Rates!$P66*Inflation,"NV"),C66)</f>
        <v>920</v>
      </c>
      <c r="E66" s="238" t="s">
        <v>579</v>
      </c>
      <c r="F66" s="128"/>
      <c r="G66" s="150"/>
      <c r="H66" s="132"/>
      <c r="J66" s="122">
        <f t="shared" si="25"/>
        <v>0</v>
      </c>
      <c r="K66" s="123">
        <f t="shared" si="26"/>
        <v>0</v>
      </c>
      <c r="L66" s="122">
        <f t="shared" si="27"/>
        <v>920</v>
      </c>
      <c r="M66" s="122">
        <f t="shared" si="29"/>
        <v>920</v>
      </c>
      <c r="N66" s="122">
        <f t="shared" si="28"/>
        <v>920</v>
      </c>
      <c r="O66" s="124" t="s">
        <v>521</v>
      </c>
      <c r="P66" s="122">
        <f>_xlfn.XLOOKUP(Rates!$O66,$J$6:$AI$6,J66:AI66)</f>
        <v>920</v>
      </c>
      <c r="Q66" s="124"/>
      <c r="R66" s="122"/>
      <c r="S66" s="122"/>
      <c r="T66" s="122"/>
      <c r="U66" s="122"/>
      <c r="V66" s="122"/>
      <c r="W66" s="122"/>
      <c r="X66" s="122"/>
      <c r="Y66" s="122"/>
      <c r="Z66" s="122"/>
      <c r="AA66" s="122"/>
      <c r="AB66" s="122"/>
      <c r="AC66" s="122"/>
      <c r="AD66" s="122"/>
      <c r="AE66" s="122"/>
      <c r="AF66" s="122"/>
      <c r="AG66" s="122">
        <v>920</v>
      </c>
      <c r="AH66" s="122"/>
      <c r="AI66" s="122"/>
    </row>
    <row r="67" spans="2:35" ht="12.5">
      <c r="B67" s="14" t="s">
        <v>479</v>
      </c>
      <c r="C67" s="149"/>
      <c r="D67" s="121" cm="1">
        <f t="array" ref="D67">IF(C67="",IFERROR(Rates!$P67*Inflation,"NV"),C67)</f>
        <v>17.649999999999999</v>
      </c>
      <c r="E67" s="238" t="s">
        <v>579</v>
      </c>
      <c r="F67" s="128"/>
      <c r="G67" s="150"/>
      <c r="H67" s="132"/>
      <c r="J67" s="122">
        <f t="shared" si="25"/>
        <v>0</v>
      </c>
      <c r="K67" s="123">
        <f t="shared" si="26"/>
        <v>0</v>
      </c>
      <c r="L67" s="122">
        <f t="shared" si="27"/>
        <v>17.649999999999999</v>
      </c>
      <c r="M67" s="122">
        <f t="shared" si="29"/>
        <v>17.649999999999999</v>
      </c>
      <c r="N67" s="122">
        <f t="shared" si="28"/>
        <v>17.649999999999999</v>
      </c>
      <c r="O67" s="124" t="s">
        <v>521</v>
      </c>
      <c r="P67" s="122">
        <f>_xlfn.XLOOKUP(Rates!$O67,$J$6:$AI$6,J67:AI67)</f>
        <v>17.649999999999999</v>
      </c>
      <c r="Q67" s="124"/>
      <c r="R67" s="122"/>
      <c r="S67" s="122"/>
      <c r="T67" s="122"/>
      <c r="U67" s="122"/>
      <c r="V67" s="122"/>
      <c r="W67" s="122"/>
      <c r="X67" s="122"/>
      <c r="Y67" s="122"/>
      <c r="Z67" s="122"/>
      <c r="AA67" s="122"/>
      <c r="AB67" s="122"/>
      <c r="AC67" s="122"/>
      <c r="AD67" s="122"/>
      <c r="AE67" s="122"/>
      <c r="AF67" s="122"/>
      <c r="AG67" s="122">
        <v>17.649999999999999</v>
      </c>
      <c r="AH67" s="122"/>
      <c r="AI67" s="122"/>
    </row>
    <row r="68" spans="2:35" ht="12.5">
      <c r="B68" s="14" t="s">
        <v>480</v>
      </c>
      <c r="C68" s="149"/>
      <c r="D68" s="121" cm="1">
        <f t="array" ref="D68">IF(C68="",IFERROR(Rates!$P68*Inflation,"NV"),C68)</f>
        <v>920</v>
      </c>
      <c r="E68" s="238" t="s">
        <v>579</v>
      </c>
      <c r="F68" s="128"/>
      <c r="G68" s="150"/>
      <c r="H68" s="132"/>
      <c r="J68" s="122">
        <f t="shared" si="25"/>
        <v>0</v>
      </c>
      <c r="K68" s="123">
        <f t="shared" si="26"/>
        <v>0</v>
      </c>
      <c r="L68" s="122">
        <f t="shared" si="27"/>
        <v>920</v>
      </c>
      <c r="M68" s="122">
        <f t="shared" si="29"/>
        <v>920</v>
      </c>
      <c r="N68" s="122">
        <f t="shared" si="28"/>
        <v>920</v>
      </c>
      <c r="O68" s="124" t="s">
        <v>521</v>
      </c>
      <c r="P68" s="122">
        <f>_xlfn.XLOOKUP(Rates!$O68,$J$6:$AI$6,J68:AI68)</f>
        <v>920</v>
      </c>
      <c r="Q68" s="124"/>
      <c r="R68" s="122"/>
      <c r="S68" s="122"/>
      <c r="T68" s="122"/>
      <c r="U68" s="122"/>
      <c r="V68" s="122"/>
      <c r="W68" s="122"/>
      <c r="X68" s="122"/>
      <c r="Y68" s="122"/>
      <c r="Z68" s="122"/>
      <c r="AA68" s="122"/>
      <c r="AB68" s="122"/>
      <c r="AC68" s="122"/>
      <c r="AD68" s="122"/>
      <c r="AE68" s="122"/>
      <c r="AF68" s="122"/>
      <c r="AG68" s="122">
        <v>920</v>
      </c>
      <c r="AH68" s="122"/>
      <c r="AI68" s="122"/>
    </row>
    <row r="69" spans="2:35" ht="13">
      <c r="B69" s="260" t="s">
        <v>580</v>
      </c>
      <c r="C69" s="100"/>
      <c r="AI69" s="366"/>
    </row>
    <row r="70" spans="2:35" ht="12.5">
      <c r="B70" s="14" t="s">
        <v>581</v>
      </c>
      <c r="C70" s="149"/>
      <c r="D70" s="121" cm="1">
        <f t="array" ref="D70">IF(C70="",IFERROR(Rates!$P70*Inflation,"NV"),C70)</f>
        <v>350</v>
      </c>
      <c r="E70" s="238" t="s">
        <v>579</v>
      </c>
      <c r="F70" s="128"/>
      <c r="G70" s="150"/>
      <c r="H70" s="132"/>
      <c r="J70" s="122">
        <f>$N70-$L70</f>
        <v>0</v>
      </c>
      <c r="K70" s="123">
        <f>IF(L70=0,"No min",$J70/$L70)</f>
        <v>0</v>
      </c>
      <c r="L70" s="122">
        <f t="shared" ref="L70:L73" si="30">MIN(R70:AH70)</f>
        <v>660</v>
      </c>
      <c r="M70" s="130">
        <f>IFERROR(AVERAGE(R70:AH70),"One / no rate")</f>
        <v>660</v>
      </c>
      <c r="N70" s="122">
        <f t="shared" ref="N70:N73" si="31">MAX(R70:AH70)</f>
        <v>660</v>
      </c>
      <c r="O70" s="124" t="s">
        <v>522</v>
      </c>
      <c r="P70" s="122">
        <f>_xlfn.XLOOKUP(Rates!$O70,$J$6:$AI$6,J70:AI70)</f>
        <v>350</v>
      </c>
      <c r="Q70" s="124"/>
      <c r="R70" s="122">
        <v>660</v>
      </c>
      <c r="S70" s="122"/>
      <c r="T70" s="122"/>
      <c r="U70" s="122"/>
      <c r="V70" s="122"/>
      <c r="W70" s="122"/>
      <c r="X70" s="122"/>
      <c r="Y70" s="122"/>
      <c r="Z70" s="122"/>
      <c r="AA70" s="122"/>
      <c r="AB70" s="122"/>
      <c r="AC70" s="122"/>
      <c r="AD70" s="122"/>
      <c r="AE70" s="122"/>
      <c r="AF70" s="122"/>
      <c r="AG70" s="122"/>
      <c r="AH70" s="122"/>
      <c r="AI70" s="122">
        <v>350</v>
      </c>
    </row>
    <row r="71" spans="2:35" ht="12.5">
      <c r="B71" s="14" t="s">
        <v>582</v>
      </c>
      <c r="C71" s="149"/>
      <c r="D71" s="121" cm="1">
        <f t="array" ref="D71">IF(C71="",IFERROR(Rates!$P71*Inflation,"NV"),C71)</f>
        <v>150</v>
      </c>
      <c r="E71" s="238" t="s">
        <v>579</v>
      </c>
      <c r="F71" s="128"/>
      <c r="G71" s="150"/>
      <c r="H71" s="132"/>
      <c r="J71" s="122">
        <f>$N71-$L71</f>
        <v>0</v>
      </c>
      <c r="K71" s="123" t="str">
        <f>IF(L71=0,"No min",$J71/$L71)</f>
        <v>No min</v>
      </c>
      <c r="L71" s="122">
        <f t="shared" si="30"/>
        <v>0</v>
      </c>
      <c r="M71" s="130" t="str">
        <f t="shared" ref="M71:M73" si="32">IFERROR(AVERAGE(R71:AH71),"One / no rate")</f>
        <v>One / no rate</v>
      </c>
      <c r="N71" s="122">
        <f t="shared" si="31"/>
        <v>0</v>
      </c>
      <c r="O71" s="124" t="s">
        <v>522</v>
      </c>
      <c r="P71" s="122">
        <f>_xlfn.XLOOKUP(Rates!$O71,$J$6:$AI$6,J71:AI71)</f>
        <v>150</v>
      </c>
      <c r="Q71" s="124"/>
      <c r="R71" s="122"/>
      <c r="S71" s="122"/>
      <c r="T71" s="122"/>
      <c r="U71" s="122"/>
      <c r="V71" s="122"/>
      <c r="W71" s="122"/>
      <c r="X71" s="122"/>
      <c r="Y71" s="122"/>
      <c r="Z71" s="122"/>
      <c r="AA71" s="122"/>
      <c r="AB71" s="122"/>
      <c r="AC71" s="122"/>
      <c r="AD71" s="122"/>
      <c r="AE71" s="122"/>
      <c r="AF71" s="122"/>
      <c r="AG71" s="122"/>
      <c r="AH71" s="122"/>
      <c r="AI71" s="122">
        <v>150</v>
      </c>
    </row>
    <row r="72" spans="2:35" ht="12.5">
      <c r="B72" s="14" t="s">
        <v>583</v>
      </c>
      <c r="C72" s="149"/>
      <c r="D72" s="121" cm="1">
        <f t="array" ref="D72">IF(C72="",IFERROR(Rates!$P72*Inflation,"NV"),C72)</f>
        <v>4</v>
      </c>
      <c r="E72" s="238" t="s">
        <v>305</v>
      </c>
      <c r="F72" s="128"/>
      <c r="G72" s="150"/>
      <c r="H72" s="132"/>
      <c r="J72" s="122">
        <f>$N72-$L72</f>
        <v>0</v>
      </c>
      <c r="K72" s="123">
        <f>IF(L72=0,"No min",$J72/$L72)</f>
        <v>0</v>
      </c>
      <c r="L72" s="122">
        <f t="shared" si="30"/>
        <v>4</v>
      </c>
      <c r="M72" s="130">
        <f t="shared" si="32"/>
        <v>4</v>
      </c>
      <c r="N72" s="122">
        <f t="shared" si="31"/>
        <v>4</v>
      </c>
      <c r="O72" s="124" t="s">
        <v>506</v>
      </c>
      <c r="P72" s="122">
        <f>_xlfn.XLOOKUP(Rates!$O72,$J$6:$AI$6,J72:AI72)</f>
        <v>4</v>
      </c>
      <c r="Q72" s="124"/>
      <c r="R72" s="122">
        <v>4</v>
      </c>
      <c r="S72" s="122"/>
      <c r="T72" s="122"/>
      <c r="U72" s="122"/>
      <c r="V72" s="122"/>
      <c r="W72" s="122"/>
      <c r="X72" s="122"/>
      <c r="Y72" s="122"/>
      <c r="Z72" s="122"/>
      <c r="AA72" s="122"/>
      <c r="AB72" s="122"/>
      <c r="AC72" s="122"/>
      <c r="AD72" s="122"/>
      <c r="AE72" s="122"/>
      <c r="AF72" s="122"/>
      <c r="AG72" s="122"/>
      <c r="AH72" s="122"/>
      <c r="AI72" s="122">
        <v>5</v>
      </c>
    </row>
    <row r="73" spans="2:35" ht="12.5">
      <c r="B73" s="14" t="s">
        <v>584</v>
      </c>
      <c r="C73" s="149"/>
      <c r="D73" s="121" cm="1">
        <f t="array" ref="D73">IF(C73="",IFERROR(Rates!$P73*Inflation,"NV"),C73)</f>
        <v>40</v>
      </c>
      <c r="E73" s="238" t="s">
        <v>305</v>
      </c>
      <c r="F73" s="128"/>
      <c r="G73" s="150"/>
      <c r="H73" s="132"/>
      <c r="J73" s="122">
        <f>$N73-$L73</f>
        <v>0</v>
      </c>
      <c r="K73" s="123">
        <f>IF(L73=0,"No min",$J73/$L73)</f>
        <v>0</v>
      </c>
      <c r="L73" s="122">
        <f t="shared" si="30"/>
        <v>40</v>
      </c>
      <c r="M73" s="130">
        <f t="shared" si="32"/>
        <v>40</v>
      </c>
      <c r="N73" s="122">
        <f t="shared" si="31"/>
        <v>40</v>
      </c>
      <c r="O73" s="124" t="s">
        <v>506</v>
      </c>
      <c r="P73" s="122">
        <f>_xlfn.XLOOKUP(Rates!$O73,$J$6:$AI$6,J73:AI73)</f>
        <v>40</v>
      </c>
      <c r="Q73" s="124"/>
      <c r="R73" s="122">
        <v>40</v>
      </c>
      <c r="S73" s="122"/>
      <c r="T73" s="122"/>
      <c r="U73" s="122"/>
      <c r="V73" s="122"/>
      <c r="W73" s="122"/>
      <c r="X73" s="122"/>
      <c r="Y73" s="122"/>
      <c r="Z73" s="122"/>
      <c r="AA73" s="122"/>
      <c r="AB73" s="122"/>
      <c r="AC73" s="122"/>
      <c r="AD73" s="122"/>
      <c r="AE73" s="122"/>
      <c r="AF73" s="122"/>
      <c r="AG73" s="122"/>
      <c r="AH73" s="122"/>
      <c r="AI73" s="122">
        <v>15</v>
      </c>
    </row>
    <row r="74" spans="2:35" ht="13">
      <c r="B74" s="260" t="s">
        <v>585</v>
      </c>
      <c r="C74" s="100"/>
      <c r="AI74" s="366"/>
    </row>
    <row r="75" spans="2:35" ht="12.5">
      <c r="B75" s="14" t="s">
        <v>412</v>
      </c>
      <c r="C75" s="149"/>
      <c r="D75" s="121" cm="1">
        <f t="array" ref="D75">IF(C75="",IFERROR(Rates!$P75*Inflation,"NV"),C75)</f>
        <v>115.5</v>
      </c>
      <c r="E75" s="238" t="s">
        <v>573</v>
      </c>
      <c r="F75" s="144" t="s">
        <v>1333</v>
      </c>
      <c r="G75" s="150"/>
      <c r="H75" s="132"/>
      <c r="J75" s="122">
        <f>$N75-$L75</f>
        <v>0</v>
      </c>
      <c r="K75" s="123">
        <f>IF(L75=0,"No min",$J75/$L75)</f>
        <v>0</v>
      </c>
      <c r="L75" s="122">
        <f>MIN(R75:AH75)</f>
        <v>115.5</v>
      </c>
      <c r="M75" s="130">
        <f>IFERROR(AVERAGE(R75:AH75),"One / no rate")</f>
        <v>115.5</v>
      </c>
      <c r="N75" s="122">
        <f>MAX(R75:AH75)</f>
        <v>115.5</v>
      </c>
      <c r="O75" s="124" t="s">
        <v>517</v>
      </c>
      <c r="P75" s="122">
        <f>_xlfn.XLOOKUP(Rates!$O75,$J$6:$AI$6,J75:AI75)</f>
        <v>115.5</v>
      </c>
      <c r="Q75" s="124"/>
      <c r="R75" s="122"/>
      <c r="S75" s="122"/>
      <c r="T75" s="122"/>
      <c r="U75" s="122"/>
      <c r="V75" s="122"/>
      <c r="W75" s="122"/>
      <c r="X75" s="122"/>
      <c r="Y75" s="122"/>
      <c r="Z75" s="122"/>
      <c r="AA75" s="122"/>
      <c r="AB75" s="122"/>
      <c r="AC75" s="122">
        <v>115.5</v>
      </c>
      <c r="AD75" s="122"/>
      <c r="AE75" s="122"/>
      <c r="AF75" s="122"/>
      <c r="AG75" s="122"/>
      <c r="AH75" s="122"/>
      <c r="AI75" s="122"/>
    </row>
    <row r="76" spans="2:35" ht="12.5">
      <c r="B76" s="14" t="s">
        <v>244</v>
      </c>
      <c r="C76" s="149"/>
      <c r="D76" s="121" cm="1">
        <f t="array" ref="D76">IF(C76="",IFERROR(Rates!$P76*Inflation,"NV"),C76)</f>
        <v>123</v>
      </c>
      <c r="E76" s="238" t="s">
        <v>573</v>
      </c>
      <c r="F76" s="144" t="s">
        <v>1333</v>
      </c>
      <c r="G76" s="150"/>
      <c r="H76" s="132"/>
      <c r="J76" s="122">
        <f>$N76-$L76</f>
        <v>0</v>
      </c>
      <c r="K76" s="123">
        <f>IF(L76=0,"No min",$J76/$L76)</f>
        <v>0</v>
      </c>
      <c r="L76" s="122">
        <f>MIN(R76:AH76)</f>
        <v>123</v>
      </c>
      <c r="M76" s="122">
        <f>AVERAGE(R76:AH76)</f>
        <v>123</v>
      </c>
      <c r="N76" s="122">
        <f>MAX(R76:AH76)</f>
        <v>123</v>
      </c>
      <c r="O76" s="124" t="s">
        <v>517</v>
      </c>
      <c r="P76" s="122">
        <f>_xlfn.XLOOKUP(Rates!$O76,$J$6:$AI$6,J76:AI76)</f>
        <v>123</v>
      </c>
      <c r="Q76" s="124"/>
      <c r="R76" s="122"/>
      <c r="S76" s="122"/>
      <c r="T76" s="122"/>
      <c r="U76" s="122"/>
      <c r="V76" s="122"/>
      <c r="W76" s="122"/>
      <c r="X76" s="122"/>
      <c r="Y76" s="122"/>
      <c r="Z76" s="122"/>
      <c r="AA76" s="122"/>
      <c r="AB76" s="122"/>
      <c r="AC76" s="122">
        <v>123</v>
      </c>
      <c r="AD76" s="122"/>
      <c r="AE76" s="122"/>
      <c r="AF76" s="122"/>
      <c r="AG76" s="122"/>
      <c r="AH76" s="122"/>
      <c r="AI76" s="122"/>
    </row>
    <row r="77" spans="2:35" ht="13">
      <c r="B77" s="260" t="s">
        <v>586</v>
      </c>
      <c r="C77" s="100"/>
      <c r="AI77" s="366"/>
    </row>
    <row r="78" spans="2:35" ht="12.5">
      <c r="B78" s="14" t="s">
        <v>587</v>
      </c>
      <c r="C78" s="149"/>
      <c r="D78" s="121" cm="1">
        <f t="array" ref="D78">IF(C78="",IFERROR(Rates!$P78*Inflation,"NV"),C78)</f>
        <v>1</v>
      </c>
      <c r="E78" s="238" t="s">
        <v>588</v>
      </c>
      <c r="F78" s="128"/>
      <c r="G78" s="150"/>
      <c r="H78" s="132"/>
      <c r="J78" s="122">
        <f>$N78-$L78</f>
        <v>0</v>
      </c>
      <c r="K78" s="123" t="str">
        <f>IF(L78=0,"No min",$J78/$L78)</f>
        <v>No min</v>
      </c>
      <c r="L78" s="122">
        <f>MIN(R78:AH78)</f>
        <v>0</v>
      </c>
      <c r="M78" s="130" t="str">
        <f>IFERROR(AVERAGE(R78:AH78),"One / no rate")</f>
        <v>One / no rate</v>
      </c>
      <c r="N78" s="122">
        <f>MAX(R78:AH78)</f>
        <v>0</v>
      </c>
      <c r="O78" s="124" t="s">
        <v>522</v>
      </c>
      <c r="P78" s="122">
        <f>_xlfn.XLOOKUP(Rates!$O78,$J$6:$AI$6,J78:AI78)</f>
        <v>1</v>
      </c>
      <c r="Q78" s="124"/>
      <c r="R78" s="122"/>
      <c r="S78" s="122"/>
      <c r="T78" s="122"/>
      <c r="U78" s="122"/>
      <c r="V78" s="122"/>
      <c r="W78" s="122"/>
      <c r="X78" s="122"/>
      <c r="Y78" s="122"/>
      <c r="Z78" s="122"/>
      <c r="AA78" s="122"/>
      <c r="AB78" s="122"/>
      <c r="AC78" s="122"/>
      <c r="AD78" s="122"/>
      <c r="AE78" s="122"/>
      <c r="AF78" s="122"/>
      <c r="AG78" s="122"/>
      <c r="AH78" s="122"/>
      <c r="AI78" s="122">
        <v>1</v>
      </c>
    </row>
    <row r="79" spans="2:35" ht="13">
      <c r="B79" s="260" t="s">
        <v>589</v>
      </c>
      <c r="C79" s="100"/>
      <c r="AI79" s="366"/>
    </row>
    <row r="80" spans="2:35" ht="12.5">
      <c r="B80" s="14" t="s">
        <v>590</v>
      </c>
      <c r="C80" s="149"/>
      <c r="D80" s="121" cm="1">
        <f t="array" ref="D80">IF(C80="",IFERROR(Rates!$P80*Inflation,"NV"),C80)</f>
        <v>309</v>
      </c>
      <c r="E80" s="238" t="s">
        <v>525</v>
      </c>
      <c r="F80" s="128" t="s">
        <v>526</v>
      </c>
      <c r="G80" s="150"/>
      <c r="H80" s="132"/>
      <c r="J80" s="122">
        <f t="shared" si="6"/>
        <v>0</v>
      </c>
      <c r="K80" s="123">
        <f t="shared" si="7"/>
        <v>0</v>
      </c>
      <c r="L80" s="122">
        <f t="shared" ref="L80:L81" si="33">MIN(R80:AH80)</f>
        <v>309</v>
      </c>
      <c r="M80" s="122">
        <f t="shared" ref="M80:M81" si="34">AVERAGE(R80:AH80)</f>
        <v>309</v>
      </c>
      <c r="N80" s="122">
        <f t="shared" ref="N80:N81" si="35">MAX(R80:AH80)</f>
        <v>309</v>
      </c>
      <c r="O80" s="124" t="s">
        <v>522</v>
      </c>
      <c r="P80" s="122">
        <f>_xlfn.XLOOKUP(Rates!$O80,$J$6:$AI$6,J80:AI80)</f>
        <v>309</v>
      </c>
      <c r="Q80" s="124"/>
      <c r="R80" s="124"/>
      <c r="S80" s="126"/>
      <c r="T80" s="126">
        <v>309</v>
      </c>
      <c r="U80" s="124"/>
      <c r="V80" s="124"/>
      <c r="W80" s="124"/>
      <c r="X80" s="124"/>
      <c r="Y80" s="124"/>
      <c r="Z80" s="124"/>
      <c r="AA80" s="124"/>
      <c r="AB80" s="124"/>
      <c r="AC80" s="124"/>
      <c r="AD80" s="124"/>
      <c r="AE80" s="124"/>
      <c r="AF80" s="124"/>
      <c r="AG80" s="124"/>
      <c r="AH80" s="124"/>
      <c r="AI80" s="122">
        <v>309</v>
      </c>
    </row>
    <row r="81" spans="2:35" ht="12.5">
      <c r="B81" s="14" t="s">
        <v>591</v>
      </c>
      <c r="C81" s="149"/>
      <c r="D81" s="121" cm="1">
        <f t="array" ref="D81">IF(C81="",IFERROR(Rates!$P81*Inflation,"NV"),C81)</f>
        <v>327</v>
      </c>
      <c r="E81" s="238" t="s">
        <v>525</v>
      </c>
      <c r="F81" s="128" t="s">
        <v>526</v>
      </c>
      <c r="G81" s="150"/>
      <c r="H81" s="132"/>
      <c r="J81" s="122">
        <f t="shared" si="6"/>
        <v>27.625332073570178</v>
      </c>
      <c r="K81" s="123">
        <f t="shared" si="7"/>
        <v>9.2276785691029137E-2</v>
      </c>
      <c r="L81" s="122">
        <f t="shared" si="33"/>
        <v>299.37466792642982</v>
      </c>
      <c r="M81" s="122">
        <f t="shared" si="34"/>
        <v>313.18733396321488</v>
      </c>
      <c r="N81" s="122">
        <f t="shared" si="35"/>
        <v>327</v>
      </c>
      <c r="O81" s="124" t="s">
        <v>508</v>
      </c>
      <c r="P81" s="122">
        <f>_xlfn.XLOOKUP(Rates!$O81,$J$6:$AI$6,J81:AI81)</f>
        <v>327</v>
      </c>
      <c r="Q81" s="124"/>
      <c r="R81" s="124"/>
      <c r="S81" s="126">
        <v>299.37466792642982</v>
      </c>
      <c r="T81" s="126">
        <v>327</v>
      </c>
      <c r="U81" s="124"/>
      <c r="V81" s="124"/>
      <c r="W81" s="124"/>
      <c r="X81" s="124"/>
      <c r="Y81" s="124"/>
      <c r="Z81" s="124"/>
      <c r="AA81" s="124"/>
      <c r="AB81" s="124"/>
      <c r="AC81" s="124"/>
      <c r="AD81" s="124"/>
      <c r="AE81" s="124"/>
      <c r="AF81" s="124"/>
      <c r="AG81" s="124"/>
      <c r="AH81" s="124"/>
      <c r="AI81" s="122">
        <v>292.5</v>
      </c>
    </row>
    <row r="82" spans="2:35" ht="13">
      <c r="B82" s="260" t="s">
        <v>53</v>
      </c>
      <c r="C82" s="100"/>
      <c r="AI82" s="366"/>
    </row>
    <row r="83" spans="2:35" ht="12.5">
      <c r="B83" s="14" t="s">
        <v>592</v>
      </c>
      <c r="C83" s="149"/>
      <c r="D83" s="121" cm="1">
        <f t="array" ref="D83">IF(C83="",IFERROR(Rates!$P83*Inflation,"NV"),C83)</f>
        <v>2.5</v>
      </c>
      <c r="E83" s="238" t="s">
        <v>579</v>
      </c>
      <c r="F83" s="145" t="s">
        <v>1103</v>
      </c>
      <c r="G83" s="150"/>
      <c r="H83" s="132"/>
      <c r="J83" s="122">
        <f t="shared" si="6"/>
        <v>0</v>
      </c>
      <c r="K83" s="123">
        <f t="shared" si="7"/>
        <v>0</v>
      </c>
      <c r="L83" s="122">
        <f t="shared" ref="L83:L90" si="36">MIN(R83:AH83)</f>
        <v>2.5</v>
      </c>
      <c r="M83" s="130">
        <f>IFERROR(AVERAGE(R83:AH83),"One / no rate")</f>
        <v>2.5</v>
      </c>
      <c r="N83" s="122">
        <f t="shared" ref="N83:N90" si="37">MAX(R83:AH83)</f>
        <v>2.5</v>
      </c>
      <c r="O83" s="124" t="s">
        <v>513</v>
      </c>
      <c r="P83" s="122">
        <f>_xlfn.XLOOKUP(Rates!$O83,$J$6:$AI$6,J83:AI83)</f>
        <v>2.5</v>
      </c>
      <c r="Q83" s="124"/>
      <c r="R83" s="124"/>
      <c r="S83" s="124"/>
      <c r="T83" s="124"/>
      <c r="U83" s="126"/>
      <c r="V83" s="124"/>
      <c r="W83" s="124"/>
      <c r="X83" s="124"/>
      <c r="Y83" s="126">
        <v>2.5</v>
      </c>
      <c r="Z83" s="124"/>
      <c r="AA83" s="124"/>
      <c r="AB83" s="124"/>
      <c r="AC83" s="124"/>
      <c r="AD83" s="124"/>
      <c r="AE83" s="124"/>
      <c r="AF83" s="124"/>
      <c r="AG83" s="124"/>
      <c r="AH83" s="124"/>
      <c r="AI83" s="122"/>
    </row>
    <row r="84" spans="2:35" ht="12.5">
      <c r="B84" s="14" t="s">
        <v>593</v>
      </c>
      <c r="C84" s="149"/>
      <c r="D84" s="121" cm="1">
        <f t="array" ref="D84">IF(C84="",IFERROR(Rates!$P84*Inflation,"NV"),C84)</f>
        <v>5</v>
      </c>
      <c r="E84" s="238" t="s">
        <v>579</v>
      </c>
      <c r="F84" s="145" t="s">
        <v>1103</v>
      </c>
      <c r="G84" s="150"/>
      <c r="H84" s="132"/>
      <c r="J84" s="122">
        <f t="shared" si="6"/>
        <v>0</v>
      </c>
      <c r="K84" s="123">
        <f t="shared" si="7"/>
        <v>0</v>
      </c>
      <c r="L84" s="122">
        <f t="shared" si="36"/>
        <v>5</v>
      </c>
      <c r="M84" s="130">
        <f t="shared" ref="M84:M90" si="38">IFERROR(AVERAGE(R84:AH84),"One / no rate")</f>
        <v>5</v>
      </c>
      <c r="N84" s="122">
        <f t="shared" si="37"/>
        <v>5</v>
      </c>
      <c r="O84" s="124" t="s">
        <v>513</v>
      </c>
      <c r="P84" s="122">
        <f>_xlfn.XLOOKUP(Rates!$O84,$J$6:$AI$6,J84:AI84)</f>
        <v>5</v>
      </c>
      <c r="Q84" s="124"/>
      <c r="R84" s="124"/>
      <c r="S84" s="124"/>
      <c r="T84" s="124"/>
      <c r="U84" s="126"/>
      <c r="V84" s="124"/>
      <c r="W84" s="124"/>
      <c r="X84" s="124"/>
      <c r="Y84" s="126">
        <v>5</v>
      </c>
      <c r="Z84" s="124"/>
      <c r="AA84" s="124"/>
      <c r="AB84" s="124"/>
      <c r="AC84" s="124"/>
      <c r="AD84" s="124"/>
      <c r="AE84" s="124"/>
      <c r="AF84" s="124"/>
      <c r="AG84" s="124"/>
      <c r="AH84" s="124"/>
      <c r="AI84" s="122"/>
    </row>
    <row r="85" spans="2:35" ht="12.5">
      <c r="B85" s="14" t="s">
        <v>594</v>
      </c>
      <c r="C85" s="149"/>
      <c r="D85" s="121" cm="1">
        <f t="array" ref="D85">IF(C85="",IFERROR(Rates!$P85*Inflation,"NV"),C85)</f>
        <v>0</v>
      </c>
      <c r="E85" s="238" t="s">
        <v>579</v>
      </c>
      <c r="F85" s="37"/>
      <c r="G85" s="150"/>
      <c r="H85" s="132"/>
      <c r="J85" s="122">
        <f t="shared" si="6"/>
        <v>0</v>
      </c>
      <c r="K85" s="123" t="str">
        <f t="shared" si="7"/>
        <v>No min</v>
      </c>
      <c r="L85" s="122">
        <f t="shared" si="36"/>
        <v>0</v>
      </c>
      <c r="M85" s="130" t="str">
        <f t="shared" si="38"/>
        <v>One / no rate</v>
      </c>
      <c r="N85" s="122">
        <f t="shared" si="37"/>
        <v>0</v>
      </c>
      <c r="O85" s="124" t="s">
        <v>522</v>
      </c>
      <c r="P85" s="122">
        <f>_xlfn.XLOOKUP(Rates!$O85,$J$6:$AI$6,J85:AI85)</f>
        <v>0</v>
      </c>
      <c r="Q85" s="124"/>
      <c r="R85" s="124"/>
      <c r="S85" s="124"/>
      <c r="T85" s="124"/>
      <c r="U85" s="126"/>
      <c r="V85" s="124"/>
      <c r="W85" s="124"/>
      <c r="X85" s="124"/>
      <c r="Y85" s="126"/>
      <c r="Z85" s="124"/>
      <c r="AA85" s="124"/>
      <c r="AB85" s="124"/>
      <c r="AC85" s="124"/>
      <c r="AD85" s="124"/>
      <c r="AE85" s="124"/>
      <c r="AF85" s="124"/>
      <c r="AG85" s="124"/>
      <c r="AH85" s="124"/>
      <c r="AI85" s="122">
        <v>0</v>
      </c>
    </row>
    <row r="86" spans="2:35" ht="12.5">
      <c r="B86" s="14" t="s">
        <v>595</v>
      </c>
      <c r="C86" s="149"/>
      <c r="D86" s="121" cm="1">
        <f t="array" ref="D86">IF(C86="",IFERROR(Rates!$P86*Inflation,"NV"),C86)</f>
        <v>1200</v>
      </c>
      <c r="E86" s="238" t="s">
        <v>579</v>
      </c>
      <c r="F86" s="37"/>
      <c r="G86" s="150"/>
      <c r="H86" s="132"/>
      <c r="J86" s="122">
        <f t="shared" si="6"/>
        <v>0</v>
      </c>
      <c r="K86" s="123">
        <f t="shared" si="7"/>
        <v>0</v>
      </c>
      <c r="L86" s="122">
        <f t="shared" si="36"/>
        <v>1200</v>
      </c>
      <c r="M86" s="130">
        <f t="shared" si="38"/>
        <v>1200</v>
      </c>
      <c r="N86" s="122">
        <f t="shared" si="37"/>
        <v>1200</v>
      </c>
      <c r="O86" s="124" t="s">
        <v>513</v>
      </c>
      <c r="P86" s="122">
        <f>_xlfn.XLOOKUP(Rates!$O86,$J$6:$AI$6,J86:AI86)</f>
        <v>1200</v>
      </c>
      <c r="Q86" s="124"/>
      <c r="R86" s="124"/>
      <c r="S86" s="124"/>
      <c r="T86" s="124"/>
      <c r="U86" s="126"/>
      <c r="V86" s="124"/>
      <c r="W86" s="124"/>
      <c r="X86" s="124"/>
      <c r="Y86" s="126">
        <v>1200</v>
      </c>
      <c r="Z86" s="124"/>
      <c r="AA86" s="124"/>
      <c r="AB86" s="124"/>
      <c r="AC86" s="124"/>
      <c r="AD86" s="124"/>
      <c r="AE86" s="124"/>
      <c r="AF86" s="124"/>
      <c r="AG86" s="124"/>
      <c r="AH86" s="124"/>
      <c r="AI86" s="122"/>
    </row>
    <row r="87" spans="2:35" ht="12.5">
      <c r="B87" s="14" t="s">
        <v>596</v>
      </c>
      <c r="C87" s="149"/>
      <c r="D87" s="121" cm="1">
        <f t="array" ref="D87">IF(C87="",IFERROR(Rates!$P87*Inflation,"NV"),C87)</f>
        <v>2</v>
      </c>
      <c r="E87" s="238" t="s">
        <v>579</v>
      </c>
      <c r="F87" s="145" t="s">
        <v>1104</v>
      </c>
      <c r="G87" s="150"/>
      <c r="H87" s="132"/>
      <c r="J87" s="122">
        <f t="shared" si="6"/>
        <v>0</v>
      </c>
      <c r="K87" s="123">
        <f t="shared" ref="K87:K107" si="39">IF(L87=0,"No min",$J87/$L87)</f>
        <v>0</v>
      </c>
      <c r="L87" s="122">
        <f t="shared" si="36"/>
        <v>2</v>
      </c>
      <c r="M87" s="130">
        <f t="shared" si="38"/>
        <v>2</v>
      </c>
      <c r="N87" s="122">
        <f t="shared" si="37"/>
        <v>2</v>
      </c>
      <c r="O87" s="124" t="s">
        <v>513</v>
      </c>
      <c r="P87" s="122">
        <f>_xlfn.XLOOKUP(Rates!$O87,$J$6:$AI$6,J87:AI87)</f>
        <v>2</v>
      </c>
      <c r="Q87" s="124"/>
      <c r="R87" s="124"/>
      <c r="S87" s="124"/>
      <c r="T87" s="124"/>
      <c r="U87" s="126"/>
      <c r="V87" s="124"/>
      <c r="W87" s="124"/>
      <c r="X87" s="124"/>
      <c r="Y87" s="126">
        <v>2</v>
      </c>
      <c r="Z87" s="124"/>
      <c r="AA87" s="124"/>
      <c r="AB87" s="124"/>
      <c r="AC87" s="124"/>
      <c r="AD87" s="124"/>
      <c r="AE87" s="124"/>
      <c r="AF87" s="124"/>
      <c r="AG87" s="124"/>
      <c r="AH87" s="124"/>
      <c r="AI87" s="122"/>
    </row>
    <row r="88" spans="2:35" ht="12.5">
      <c r="B88" s="14" t="s">
        <v>597</v>
      </c>
      <c r="C88" s="149"/>
      <c r="D88" s="121" cm="1">
        <f t="array" ref="D88">IF(C88="",IFERROR(Rates!$P88*Inflation,"NV"),C88)</f>
        <v>0.2</v>
      </c>
      <c r="E88" s="238" t="s">
        <v>579</v>
      </c>
      <c r="F88" s="145" t="s">
        <v>1104</v>
      </c>
      <c r="G88" s="150"/>
      <c r="H88" s="132"/>
      <c r="J88" s="122">
        <f t="shared" si="6"/>
        <v>0</v>
      </c>
      <c r="K88" s="123">
        <f t="shared" si="39"/>
        <v>0</v>
      </c>
      <c r="L88" s="122">
        <f t="shared" si="36"/>
        <v>0.2</v>
      </c>
      <c r="M88" s="130">
        <f t="shared" si="38"/>
        <v>0.2</v>
      </c>
      <c r="N88" s="122">
        <f t="shared" si="37"/>
        <v>0.2</v>
      </c>
      <c r="O88" s="124" t="s">
        <v>513</v>
      </c>
      <c r="P88" s="122">
        <f>_xlfn.XLOOKUP(Rates!$O88,$J$6:$AI$6,J88:AI88)</f>
        <v>0.2</v>
      </c>
      <c r="Q88" s="124"/>
      <c r="R88" s="124"/>
      <c r="S88" s="124"/>
      <c r="T88" s="124"/>
      <c r="U88" s="126"/>
      <c r="V88" s="124"/>
      <c r="W88" s="124"/>
      <c r="X88" s="124"/>
      <c r="Y88" s="126">
        <v>0.2</v>
      </c>
      <c r="Z88" s="124"/>
      <c r="AA88" s="124"/>
      <c r="AB88" s="124"/>
      <c r="AC88" s="124"/>
      <c r="AD88" s="124"/>
      <c r="AE88" s="124"/>
      <c r="AF88" s="124"/>
      <c r="AG88" s="124"/>
      <c r="AH88" s="124"/>
      <c r="AI88" s="122"/>
    </row>
    <row r="89" spans="2:35" ht="12.5">
      <c r="B89" s="14" t="s">
        <v>598</v>
      </c>
      <c r="C89" s="149"/>
      <c r="D89" s="121" cm="1">
        <f t="array" ref="D89">IF(C89="",IFERROR(Rates!$P89*Inflation,"NV"),C89)</f>
        <v>0</v>
      </c>
      <c r="E89" s="238" t="s">
        <v>579</v>
      </c>
      <c r="F89" s="128"/>
      <c r="G89" s="150"/>
      <c r="H89" s="132"/>
      <c r="J89" s="122">
        <f t="shared" si="6"/>
        <v>0</v>
      </c>
      <c r="K89" s="123" t="str">
        <f t="shared" si="39"/>
        <v>No min</v>
      </c>
      <c r="L89" s="122">
        <f t="shared" si="36"/>
        <v>0</v>
      </c>
      <c r="M89" s="130" t="str">
        <f t="shared" si="38"/>
        <v>One / no rate</v>
      </c>
      <c r="N89" s="122">
        <f t="shared" si="37"/>
        <v>0</v>
      </c>
      <c r="O89" s="124" t="s">
        <v>522</v>
      </c>
      <c r="P89" s="122">
        <f>_xlfn.XLOOKUP(Rates!$O89,$J$6:$AI$6,J89:AI89)</f>
        <v>0</v>
      </c>
      <c r="Q89" s="124"/>
      <c r="R89" s="124"/>
      <c r="S89" s="124"/>
      <c r="T89" s="124"/>
      <c r="U89" s="126"/>
      <c r="V89" s="124"/>
      <c r="W89" s="124"/>
      <c r="X89" s="124"/>
      <c r="Y89" s="124"/>
      <c r="Z89" s="124"/>
      <c r="AA89" s="124"/>
      <c r="AB89" s="124"/>
      <c r="AC89" s="124"/>
      <c r="AD89" s="124"/>
      <c r="AE89" s="124"/>
      <c r="AF89" s="124"/>
      <c r="AG89" s="124"/>
      <c r="AH89" s="124"/>
      <c r="AI89" s="122">
        <v>0</v>
      </c>
    </row>
    <row r="90" spans="2:35" ht="12.5">
      <c r="B90" s="37" t="s">
        <v>599</v>
      </c>
      <c r="C90" s="149"/>
      <c r="D90" s="121" cm="1">
        <f t="array" ref="D90">IF(C90="",IFERROR(Rates!$P90*Inflation,"NV"),C90)</f>
        <v>500</v>
      </c>
      <c r="E90" s="238" t="s">
        <v>588</v>
      </c>
      <c r="F90" s="146" t="s">
        <v>1342</v>
      </c>
      <c r="G90" s="150"/>
      <c r="H90" s="132"/>
      <c r="J90" s="122">
        <f t="shared" si="6"/>
        <v>0</v>
      </c>
      <c r="K90" s="123" t="str">
        <f t="shared" ref="K90" si="40">IF(L90=0,"No min",$J90/$L90)</f>
        <v>No min</v>
      </c>
      <c r="L90" s="122">
        <f t="shared" si="36"/>
        <v>0</v>
      </c>
      <c r="M90" s="130" t="str">
        <f t="shared" si="38"/>
        <v>One / no rate</v>
      </c>
      <c r="N90" s="122">
        <f t="shared" si="37"/>
        <v>0</v>
      </c>
      <c r="O90" s="124" t="s">
        <v>522</v>
      </c>
      <c r="P90" s="122">
        <f>_xlfn.XLOOKUP(Rates!$O90,$J$6:$AI$6,J90:AI90)</f>
        <v>500</v>
      </c>
      <c r="Q90" s="124"/>
      <c r="R90" s="124"/>
      <c r="S90" s="124"/>
      <c r="T90" s="124"/>
      <c r="U90" s="126"/>
      <c r="V90" s="124"/>
      <c r="W90" s="124"/>
      <c r="X90" s="124"/>
      <c r="Y90" s="124"/>
      <c r="Z90" s="124"/>
      <c r="AA90" s="124"/>
      <c r="AB90" s="124"/>
      <c r="AC90" s="124"/>
      <c r="AD90" s="124"/>
      <c r="AE90" s="124"/>
      <c r="AF90" s="124"/>
      <c r="AG90" s="124"/>
      <c r="AH90" s="124"/>
      <c r="AI90" s="122">
        <v>500</v>
      </c>
    </row>
    <row r="91" spans="2:35" ht="13">
      <c r="B91" s="260" t="s">
        <v>600</v>
      </c>
      <c r="C91" s="100"/>
      <c r="AI91" s="366"/>
    </row>
    <row r="92" spans="2:35" ht="12.5">
      <c r="B92" s="37" t="s">
        <v>601</v>
      </c>
      <c r="C92" s="149"/>
      <c r="D92" s="121" cm="1">
        <f t="array" ref="D92">IF(C92="",IFERROR(Rates!$P92*Inflation,"NV"),C92)</f>
        <v>10.86</v>
      </c>
      <c r="E92" s="238" t="s">
        <v>602</v>
      </c>
      <c r="F92" s="128"/>
      <c r="G92" s="150"/>
      <c r="H92" s="132"/>
      <c r="J92" s="122">
        <f t="shared" si="6"/>
        <v>0</v>
      </c>
      <c r="K92" s="123" t="str">
        <f t="shared" si="39"/>
        <v>No min</v>
      </c>
      <c r="L92" s="122">
        <f t="shared" ref="L92:L93" si="41">MIN(R92:AH92)</f>
        <v>0</v>
      </c>
      <c r="M92" s="130" t="str">
        <f>IFERROR(AVERAGE(R92:AH92),"One / no rate")</f>
        <v>One / no rate</v>
      </c>
      <c r="N92" s="122">
        <f t="shared" ref="N92:N93" si="42">MAX(R92:AH92)</f>
        <v>0</v>
      </c>
      <c r="O92" s="124" t="s">
        <v>522</v>
      </c>
      <c r="P92" s="122">
        <f>_xlfn.XLOOKUP(Rates!$O92,$J$6:$AI$6,J92:AI92)</f>
        <v>10.86</v>
      </c>
      <c r="Q92" s="124"/>
      <c r="R92" s="126"/>
      <c r="S92" s="124"/>
      <c r="T92" s="124"/>
      <c r="U92" s="124"/>
      <c r="V92" s="124"/>
      <c r="W92" s="124"/>
      <c r="X92" s="124"/>
      <c r="Y92" s="124"/>
      <c r="Z92" s="124"/>
      <c r="AA92" s="124"/>
      <c r="AB92" s="124"/>
      <c r="AC92" s="124"/>
      <c r="AD92" s="124"/>
      <c r="AE92" s="124"/>
      <c r="AF92" s="124"/>
      <c r="AG92" s="124"/>
      <c r="AH92" s="124"/>
      <c r="AI92" s="122">
        <v>10.86</v>
      </c>
    </row>
    <row r="93" spans="2:35" ht="12.5">
      <c r="B93" s="37" t="s">
        <v>603</v>
      </c>
      <c r="C93" s="149"/>
      <c r="D93" s="121" cm="1">
        <f t="array" ref="D93">IF(C93="",IFERROR(Rates!$P93*Inflation,"NV"),C93)</f>
        <v>1000</v>
      </c>
      <c r="E93" s="238" t="s">
        <v>602</v>
      </c>
      <c r="F93" s="128"/>
      <c r="G93" s="150"/>
      <c r="H93" s="132"/>
      <c r="J93" s="122">
        <f t="shared" si="6"/>
        <v>0</v>
      </c>
      <c r="K93" s="123" t="str">
        <f t="shared" ref="K93" si="43">IF(L93=0,"No min",$J93/$L93)</f>
        <v>No min</v>
      </c>
      <c r="L93" s="122">
        <f t="shared" si="41"/>
        <v>0</v>
      </c>
      <c r="M93" s="130" t="str">
        <f>IFERROR(AVERAGE(R93:AH93),"One / no rate")</f>
        <v>One / no rate</v>
      </c>
      <c r="N93" s="122">
        <f t="shared" si="42"/>
        <v>0</v>
      </c>
      <c r="O93" s="124" t="s">
        <v>522</v>
      </c>
      <c r="P93" s="122">
        <f>_xlfn.XLOOKUP(Rates!$O93,$J$6:$AI$6,J93:AI93)</f>
        <v>1000</v>
      </c>
      <c r="Q93" s="124"/>
      <c r="R93" s="126"/>
      <c r="S93" s="124"/>
      <c r="T93" s="124"/>
      <c r="U93" s="124"/>
      <c r="V93" s="124"/>
      <c r="W93" s="124"/>
      <c r="X93" s="124"/>
      <c r="Y93" s="124"/>
      <c r="Z93" s="124"/>
      <c r="AA93" s="124"/>
      <c r="AB93" s="124"/>
      <c r="AC93" s="124"/>
      <c r="AD93" s="124"/>
      <c r="AE93" s="124"/>
      <c r="AF93" s="124"/>
      <c r="AG93" s="124"/>
      <c r="AH93" s="124"/>
      <c r="AI93" s="122">
        <v>1000</v>
      </c>
    </row>
    <row r="94" spans="2:35" ht="13">
      <c r="B94" s="260" t="s">
        <v>604</v>
      </c>
      <c r="C94" s="100"/>
      <c r="AI94" s="366"/>
    </row>
    <row r="95" spans="2:35" ht="12.5">
      <c r="B95" s="37" t="s">
        <v>605</v>
      </c>
      <c r="C95" s="149"/>
      <c r="D95" s="121" cm="1">
        <f t="array" ref="D95">IF(C95="",IFERROR(Rates!$P95*Inflation,"NV"),C95)</f>
        <v>146.19999999999999</v>
      </c>
      <c r="E95" s="238" t="s">
        <v>525</v>
      </c>
      <c r="F95" s="128"/>
      <c r="G95" s="150"/>
      <c r="H95" s="132"/>
      <c r="J95" s="122">
        <f>$N95-$L95</f>
        <v>0</v>
      </c>
      <c r="K95" s="123" t="str">
        <f>IF(L95=0,"No min",$J95/$L95)</f>
        <v>No min</v>
      </c>
      <c r="L95" s="122">
        <f t="shared" ref="L95:L102" si="44">MIN(R95:AH95)</f>
        <v>0</v>
      </c>
      <c r="M95" s="130" t="str">
        <f>IFERROR(AVERAGE(R95:AH95),"One / no rate")</f>
        <v>One / no rate</v>
      </c>
      <c r="N95" s="122">
        <f t="shared" ref="N95:N102" si="45">MAX(R95:AH95)</f>
        <v>0</v>
      </c>
      <c r="O95" s="124" t="s">
        <v>522</v>
      </c>
      <c r="P95" s="122">
        <f>_xlfn.XLOOKUP(Rates!$O95,$J$6:$AI$6,J95:AI95)</f>
        <v>146.19999999999999</v>
      </c>
      <c r="Q95" s="124"/>
      <c r="R95" s="122"/>
      <c r="S95" s="126"/>
      <c r="T95" s="124"/>
      <c r="U95" s="126"/>
      <c r="V95" s="124"/>
      <c r="W95" s="124"/>
      <c r="X95" s="124"/>
      <c r="Y95" s="124"/>
      <c r="Z95" s="124"/>
      <c r="AA95" s="124"/>
      <c r="AB95" s="124"/>
      <c r="AC95" s="124"/>
      <c r="AD95" s="124"/>
      <c r="AE95" s="124"/>
      <c r="AF95" s="124"/>
      <c r="AG95" s="124"/>
      <c r="AH95" s="124"/>
      <c r="AI95" s="122">
        <v>146.19999999999999</v>
      </c>
    </row>
    <row r="96" spans="2:35" ht="12.5">
      <c r="B96" s="14" t="s">
        <v>606</v>
      </c>
      <c r="C96" s="149"/>
      <c r="D96" s="121" cm="1">
        <f t="array" ref="D96">IF(C96="",IFERROR(Rates!$P96*Inflation,"NV"),C96)</f>
        <v>168.69</v>
      </c>
      <c r="E96" s="238" t="s">
        <v>525</v>
      </c>
      <c r="F96" s="128"/>
      <c r="G96" s="150"/>
      <c r="H96" s="132"/>
      <c r="J96" s="122">
        <f t="shared" si="6"/>
        <v>0</v>
      </c>
      <c r="K96" s="123" t="str">
        <f t="shared" si="39"/>
        <v>No min</v>
      </c>
      <c r="L96" s="122">
        <f t="shared" si="44"/>
        <v>0</v>
      </c>
      <c r="M96" s="130" t="str">
        <f t="shared" ref="M96:M103" si="46">IFERROR(AVERAGE(R96:AH96),"One / no rate")</f>
        <v>One / no rate</v>
      </c>
      <c r="N96" s="122">
        <f t="shared" si="45"/>
        <v>0</v>
      </c>
      <c r="O96" s="124" t="s">
        <v>522</v>
      </c>
      <c r="P96" s="122">
        <f>_xlfn.XLOOKUP(Rates!$O96,$J$6:$AI$6,J96:AI96)</f>
        <v>168.69</v>
      </c>
      <c r="Q96" s="124"/>
      <c r="R96" s="122"/>
      <c r="S96" s="126"/>
      <c r="T96" s="124"/>
      <c r="U96" s="126"/>
      <c r="V96" s="124"/>
      <c r="W96" s="124"/>
      <c r="X96" s="124"/>
      <c r="Y96" s="124"/>
      <c r="Z96" s="124"/>
      <c r="AA96" s="124"/>
      <c r="AB96" s="124"/>
      <c r="AC96" s="124"/>
      <c r="AD96" s="124"/>
      <c r="AE96" s="124"/>
      <c r="AF96" s="124"/>
      <c r="AG96" s="124"/>
      <c r="AH96" s="124"/>
      <c r="AI96" s="122">
        <v>168.69</v>
      </c>
    </row>
    <row r="97" spans="2:35" ht="12.5">
      <c r="B97" s="14" t="s">
        <v>607</v>
      </c>
      <c r="C97" s="149"/>
      <c r="D97" s="121" cm="1">
        <f t="array" ref="D97">IF(C97="",IFERROR(Rates!$P97*Inflation,"NV"),C97)</f>
        <v>180</v>
      </c>
      <c r="E97" s="238" t="s">
        <v>525</v>
      </c>
      <c r="F97" s="128"/>
      <c r="G97" s="150"/>
      <c r="H97" s="132"/>
      <c r="J97" s="122">
        <f t="shared" si="6"/>
        <v>0</v>
      </c>
      <c r="K97" s="123" t="str">
        <f t="shared" si="39"/>
        <v>No min</v>
      </c>
      <c r="L97" s="122">
        <f t="shared" si="44"/>
        <v>0</v>
      </c>
      <c r="M97" s="130" t="str">
        <f t="shared" si="46"/>
        <v>One / no rate</v>
      </c>
      <c r="N97" s="122">
        <f t="shared" si="45"/>
        <v>0</v>
      </c>
      <c r="O97" s="124" t="s">
        <v>522</v>
      </c>
      <c r="P97" s="122">
        <f>_xlfn.XLOOKUP(Rates!$O97,$J$6:$AI$6,J97:AI97)</f>
        <v>180</v>
      </c>
      <c r="Q97" s="124"/>
      <c r="R97" s="122"/>
      <c r="S97" s="126"/>
      <c r="T97" s="124"/>
      <c r="U97" s="126"/>
      <c r="V97" s="124"/>
      <c r="W97" s="124"/>
      <c r="X97" s="124"/>
      <c r="Y97" s="124"/>
      <c r="Z97" s="124"/>
      <c r="AA97" s="124"/>
      <c r="AB97" s="124"/>
      <c r="AC97" s="124"/>
      <c r="AD97" s="124"/>
      <c r="AE97" s="124"/>
      <c r="AF97" s="124"/>
      <c r="AG97" s="124"/>
      <c r="AH97" s="124"/>
      <c r="AI97" s="122">
        <v>180</v>
      </c>
    </row>
    <row r="98" spans="2:35" ht="12.5">
      <c r="B98" s="14" t="s">
        <v>608</v>
      </c>
      <c r="C98" s="149"/>
      <c r="D98" s="121" cm="1">
        <f t="array" ref="D98">IF(C98="",IFERROR(Rates!$P98*Inflation,"NV"),C98)</f>
        <v>84.344867508965919</v>
      </c>
      <c r="E98" s="238" t="s">
        <v>525</v>
      </c>
      <c r="F98" s="128"/>
      <c r="G98" s="150"/>
      <c r="H98" s="132"/>
      <c r="J98" s="122">
        <f t="shared" si="6"/>
        <v>0</v>
      </c>
      <c r="K98" s="123" t="str">
        <f t="shared" si="39"/>
        <v>No min</v>
      </c>
      <c r="L98" s="122">
        <f t="shared" si="44"/>
        <v>0</v>
      </c>
      <c r="M98" s="130" t="str">
        <f t="shared" si="46"/>
        <v>One / no rate</v>
      </c>
      <c r="N98" s="122">
        <f t="shared" si="45"/>
        <v>0</v>
      </c>
      <c r="O98" s="124" t="s">
        <v>522</v>
      </c>
      <c r="P98" s="122">
        <f>_xlfn.XLOOKUP(Rates!$O98,$J$6:$AI$6,J98:AI98)</f>
        <v>84.344867508965919</v>
      </c>
      <c r="Q98" s="124"/>
      <c r="R98" s="122"/>
      <c r="S98" s="126"/>
      <c r="T98" s="124"/>
      <c r="U98" s="126"/>
      <c r="V98" s="124"/>
      <c r="W98" s="124"/>
      <c r="X98" s="124"/>
      <c r="Y98" s="124"/>
      <c r="Z98" s="124"/>
      <c r="AA98" s="124"/>
      <c r="AB98" s="124"/>
      <c r="AC98" s="124"/>
      <c r="AD98" s="124"/>
      <c r="AE98" s="124"/>
      <c r="AF98" s="124"/>
      <c r="AG98" s="124"/>
      <c r="AH98" s="124"/>
      <c r="AI98" s="122">
        <v>84.344867508965919</v>
      </c>
    </row>
    <row r="99" spans="2:35" ht="12.5">
      <c r="B99" s="37" t="s">
        <v>609</v>
      </c>
      <c r="C99" s="149"/>
      <c r="D99" s="121" cm="1">
        <f t="array" ref="D99">IF(C99="",IFERROR(Rates!$P99*Inflation,"NV"),C99)</f>
        <v>146.19999999999999</v>
      </c>
      <c r="E99" s="238" t="s">
        <v>525</v>
      </c>
      <c r="F99" s="128"/>
      <c r="G99" s="150"/>
      <c r="H99" s="132"/>
      <c r="J99" s="122">
        <f>$N99-$L99</f>
        <v>0</v>
      </c>
      <c r="K99" s="123" t="str">
        <f>IF(L99=0,"No min",$J99/$L99)</f>
        <v>No min</v>
      </c>
      <c r="L99" s="122">
        <f t="shared" si="44"/>
        <v>0</v>
      </c>
      <c r="M99" s="130" t="str">
        <f t="shared" si="46"/>
        <v>One / no rate</v>
      </c>
      <c r="N99" s="122">
        <f t="shared" si="45"/>
        <v>0</v>
      </c>
      <c r="O99" s="124" t="s">
        <v>522</v>
      </c>
      <c r="P99" s="122">
        <f>_xlfn.XLOOKUP(Rates!$O99,$J$6:$AI$6,J99:AI99)</f>
        <v>146.19999999999999</v>
      </c>
      <c r="Q99" s="124"/>
      <c r="R99" s="122"/>
      <c r="S99" s="126"/>
      <c r="T99" s="124"/>
      <c r="U99" s="126"/>
      <c r="V99" s="124"/>
      <c r="W99" s="124"/>
      <c r="X99" s="124"/>
      <c r="Y99" s="124"/>
      <c r="Z99" s="124"/>
      <c r="AA99" s="124"/>
      <c r="AB99" s="124"/>
      <c r="AC99" s="124"/>
      <c r="AD99" s="124"/>
      <c r="AE99" s="124"/>
      <c r="AF99" s="124"/>
      <c r="AG99" s="124"/>
      <c r="AH99" s="124"/>
      <c r="AI99" s="122">
        <v>146.19999999999999</v>
      </c>
    </row>
    <row r="100" spans="2:35" ht="12.5">
      <c r="B100" s="37" t="s">
        <v>610</v>
      </c>
      <c r="C100" s="149"/>
      <c r="D100" s="121" cm="1">
        <f t="array" ref="D100">IF(C100="",IFERROR(Rates!$P100*Inflation,"NV"),C100)</f>
        <v>140.57</v>
      </c>
      <c r="E100" s="238" t="s">
        <v>525</v>
      </c>
      <c r="F100" s="128"/>
      <c r="G100" s="150"/>
      <c r="H100" s="132"/>
      <c r="J100" s="122">
        <f>$N100-$L100</f>
        <v>0</v>
      </c>
      <c r="K100" s="123" t="str">
        <f>IF(L100=0,"No min",$J100/$L100)</f>
        <v>No min</v>
      </c>
      <c r="L100" s="122">
        <f t="shared" si="44"/>
        <v>0</v>
      </c>
      <c r="M100" s="130" t="str">
        <f t="shared" si="46"/>
        <v>One / no rate</v>
      </c>
      <c r="N100" s="122">
        <f t="shared" si="45"/>
        <v>0</v>
      </c>
      <c r="O100" s="124" t="s">
        <v>522</v>
      </c>
      <c r="P100" s="122">
        <f>_xlfn.XLOOKUP(Rates!$O100,$J$6:$AI$6,J100:AI100)</f>
        <v>140.57</v>
      </c>
      <c r="Q100" s="124"/>
      <c r="R100" s="122"/>
      <c r="S100" s="126"/>
      <c r="T100" s="124"/>
      <c r="U100" s="126"/>
      <c r="V100" s="124"/>
      <c r="W100" s="124"/>
      <c r="X100" s="124"/>
      <c r="Y100" s="124"/>
      <c r="Z100" s="124"/>
      <c r="AA100" s="124"/>
      <c r="AB100" s="124"/>
      <c r="AC100" s="124"/>
      <c r="AD100" s="124"/>
      <c r="AE100" s="124"/>
      <c r="AF100" s="124"/>
      <c r="AG100" s="124"/>
      <c r="AH100" s="124"/>
      <c r="AI100" s="122">
        <v>140.57</v>
      </c>
    </row>
    <row r="101" spans="2:35" ht="12.5">
      <c r="B101" s="37" t="s">
        <v>611</v>
      </c>
      <c r="C101" s="149"/>
      <c r="D101" s="121" cm="1">
        <f t="array" ref="D101">IF(C101="",IFERROR(Rates!$P101*Inflation,"NV"),C101)</f>
        <v>500</v>
      </c>
      <c r="E101" s="238" t="s">
        <v>525</v>
      </c>
      <c r="F101" s="128"/>
      <c r="G101" s="150"/>
      <c r="H101" s="132"/>
      <c r="J101" s="122">
        <f>$N101-$L101</f>
        <v>0</v>
      </c>
      <c r="K101" s="123" t="str">
        <f>IF(L101=0,"No min",$J101/$L101)</f>
        <v>No min</v>
      </c>
      <c r="L101" s="122">
        <f t="shared" si="44"/>
        <v>0</v>
      </c>
      <c r="M101" s="130" t="str">
        <f t="shared" si="46"/>
        <v>One / no rate</v>
      </c>
      <c r="N101" s="122">
        <f t="shared" si="45"/>
        <v>0</v>
      </c>
      <c r="O101" s="124" t="s">
        <v>522</v>
      </c>
      <c r="P101" s="122">
        <f>_xlfn.XLOOKUP(Rates!$O101,$J$6:$AI$6,J101:AI101)</f>
        <v>500</v>
      </c>
      <c r="Q101" s="124"/>
      <c r="R101" s="122"/>
      <c r="S101" s="126"/>
      <c r="T101" s="124"/>
      <c r="U101" s="126"/>
      <c r="V101" s="124"/>
      <c r="W101" s="124"/>
      <c r="X101" s="124"/>
      <c r="Y101" s="124"/>
      <c r="Z101" s="124"/>
      <c r="AA101" s="124"/>
      <c r="AB101" s="124"/>
      <c r="AC101" s="124"/>
      <c r="AD101" s="124"/>
      <c r="AE101" s="124"/>
      <c r="AF101" s="124"/>
      <c r="AG101" s="124"/>
      <c r="AH101" s="124"/>
      <c r="AI101" s="122">
        <v>500</v>
      </c>
    </row>
    <row r="102" spans="2:35" ht="12.5">
      <c r="B102" s="37" t="s">
        <v>612</v>
      </c>
      <c r="C102" s="149"/>
      <c r="D102" s="121" cm="1">
        <f t="array" ref="D102">IF(C102="",IFERROR(Rates!$P102*Inflation,"NV"),C102)</f>
        <v>146.19999999999999</v>
      </c>
      <c r="E102" s="238" t="s">
        <v>525</v>
      </c>
      <c r="F102" s="128"/>
      <c r="G102" s="150"/>
      <c r="H102" s="132"/>
      <c r="J102" s="122">
        <f>$N102-$L102</f>
        <v>0</v>
      </c>
      <c r="K102" s="123" t="str">
        <f>IF(L102=0,"No min",$J102/$L102)</f>
        <v>No min</v>
      </c>
      <c r="L102" s="122">
        <f t="shared" si="44"/>
        <v>0</v>
      </c>
      <c r="M102" s="130" t="str">
        <f t="shared" si="46"/>
        <v>One / no rate</v>
      </c>
      <c r="N102" s="122">
        <f t="shared" si="45"/>
        <v>0</v>
      </c>
      <c r="O102" s="124" t="s">
        <v>522</v>
      </c>
      <c r="P102" s="122">
        <f>_xlfn.XLOOKUP(Rates!$O102,$J$6:$AI$6,J102:AI102)</f>
        <v>146.19999999999999</v>
      </c>
      <c r="Q102" s="124"/>
      <c r="R102" s="122"/>
      <c r="S102" s="126"/>
      <c r="T102" s="124"/>
      <c r="U102" s="126"/>
      <c r="V102" s="124"/>
      <c r="W102" s="124"/>
      <c r="X102" s="126"/>
      <c r="Y102" s="124"/>
      <c r="Z102" s="124"/>
      <c r="AA102" s="124"/>
      <c r="AB102" s="124"/>
      <c r="AC102" s="124"/>
      <c r="AD102" s="124"/>
      <c r="AE102" s="124"/>
      <c r="AF102" s="124"/>
      <c r="AG102" s="124"/>
      <c r="AH102" s="124"/>
      <c r="AI102" s="122">
        <v>146.19999999999999</v>
      </c>
    </row>
    <row r="103" spans="2:35" ht="12.5">
      <c r="B103" s="37" t="s">
        <v>1005</v>
      </c>
      <c r="C103" s="149"/>
      <c r="D103" s="121" cm="1">
        <f t="array" ref="D103">IF(C103="",IFERROR(Rates!$P103*Inflation,"NV"),C103)</f>
        <v>116.03</v>
      </c>
      <c r="E103" s="238" t="s">
        <v>525</v>
      </c>
      <c r="F103" s="128"/>
      <c r="G103" s="150"/>
      <c r="H103" s="132"/>
      <c r="J103" s="122">
        <f>$N103-$L103</f>
        <v>0</v>
      </c>
      <c r="K103" s="123" t="str">
        <f>IF(L103=0,"No min",$J103/$L103)</f>
        <v>No min</v>
      </c>
      <c r="L103" s="122">
        <f t="shared" ref="L103" si="47">MIN(R103:AH103)</f>
        <v>0</v>
      </c>
      <c r="M103" s="130" t="str">
        <f t="shared" si="46"/>
        <v>One / no rate</v>
      </c>
      <c r="N103" s="122">
        <f t="shared" ref="N103" si="48">MAX(R103:AH103)</f>
        <v>0</v>
      </c>
      <c r="O103" s="124" t="s">
        <v>522</v>
      </c>
      <c r="P103" s="122">
        <f>_xlfn.XLOOKUP(Rates!$O103,$J$6:$AI$6,J103:AI103)</f>
        <v>116.03</v>
      </c>
      <c r="Q103" s="124"/>
      <c r="R103" s="122"/>
      <c r="S103" s="126"/>
      <c r="T103" s="124"/>
      <c r="U103" s="126"/>
      <c r="V103" s="124"/>
      <c r="W103" s="124"/>
      <c r="X103" s="126"/>
      <c r="Y103" s="124"/>
      <c r="Z103" s="124"/>
      <c r="AA103" s="124"/>
      <c r="AB103" s="124"/>
      <c r="AC103" s="124"/>
      <c r="AD103" s="124"/>
      <c r="AE103" s="124"/>
      <c r="AF103" s="124"/>
      <c r="AG103" s="124"/>
      <c r="AH103" s="124"/>
      <c r="AI103" s="122">
        <v>116.03</v>
      </c>
    </row>
    <row r="104" spans="2:35" ht="13">
      <c r="B104" s="260" t="s">
        <v>613</v>
      </c>
      <c r="C104" s="100"/>
      <c r="U104" s="100"/>
      <c r="AI104" s="366"/>
    </row>
    <row r="105" spans="2:35" ht="12.5">
      <c r="B105" s="14" t="s">
        <v>614</v>
      </c>
      <c r="C105" s="149"/>
      <c r="D105" s="121" cm="1">
        <f t="array" ref="D105">IF(C105="",IFERROR(Rates!$P105*Inflation,"NV"),C105)</f>
        <v>90</v>
      </c>
      <c r="E105" s="238" t="s">
        <v>525</v>
      </c>
      <c r="F105" s="128" t="s">
        <v>1334</v>
      </c>
      <c r="G105" s="150"/>
      <c r="H105" s="132"/>
      <c r="J105" s="122">
        <f t="shared" si="6"/>
        <v>33.869999999999997</v>
      </c>
      <c r="K105" s="123">
        <f t="shared" si="39"/>
        <v>0.60342063067878138</v>
      </c>
      <c r="L105" s="122">
        <f t="shared" ref="L105:L115" si="49">MIN(R105:AH105)</f>
        <v>56.13</v>
      </c>
      <c r="M105" s="130">
        <f>IFERROR(AVERAGE(R105:AH105),"One / no rate")</f>
        <v>73.064999999999998</v>
      </c>
      <c r="N105" s="122">
        <f t="shared" ref="N105:N115" si="50">MAX(R105:AH105)</f>
        <v>90</v>
      </c>
      <c r="O105" s="124" t="s">
        <v>511</v>
      </c>
      <c r="P105" s="122">
        <f>_xlfn.XLOOKUP(Rates!$O105,$J$6:$AI$6,J105:AI105)</f>
        <v>90</v>
      </c>
      <c r="Q105" s="124"/>
      <c r="R105" s="122"/>
      <c r="S105" s="126">
        <v>56.13</v>
      </c>
      <c r="T105" s="124"/>
      <c r="U105" s="124"/>
      <c r="V105" s="124"/>
      <c r="W105" s="126">
        <v>90</v>
      </c>
      <c r="X105" s="124"/>
      <c r="Y105" s="124"/>
      <c r="Z105" s="124"/>
      <c r="AA105" s="124"/>
      <c r="AB105" s="124"/>
      <c r="AC105" s="124"/>
      <c r="AD105" s="124"/>
      <c r="AE105" s="124"/>
      <c r="AF105" s="124"/>
      <c r="AG105" s="124"/>
      <c r="AH105" s="124"/>
      <c r="AI105" s="122">
        <v>150</v>
      </c>
    </row>
    <row r="106" spans="2:35" ht="12.5">
      <c r="B106" s="14" t="s">
        <v>615</v>
      </c>
      <c r="C106" s="149"/>
      <c r="D106" s="121" cm="1">
        <f t="array" ref="D106">IF(C106="",IFERROR(Rates!$P106*Inflation,"NV"),C106)</f>
        <v>60</v>
      </c>
      <c r="E106" s="238" t="s">
        <v>525</v>
      </c>
      <c r="F106" s="128" t="s">
        <v>1335</v>
      </c>
      <c r="G106" s="150"/>
      <c r="H106" s="132"/>
      <c r="J106" s="122">
        <f t="shared" si="6"/>
        <v>115</v>
      </c>
      <c r="K106" s="123">
        <f t="shared" si="39"/>
        <v>1.9166666666666667</v>
      </c>
      <c r="L106" s="122">
        <f t="shared" si="49"/>
        <v>60</v>
      </c>
      <c r="M106" s="130">
        <f t="shared" ref="M106:M119" si="51">IFERROR(AVERAGE(R106:AH106),"One / no rate")</f>
        <v>117.5</v>
      </c>
      <c r="N106" s="122">
        <f t="shared" si="50"/>
        <v>175</v>
      </c>
      <c r="O106" s="124" t="s">
        <v>509</v>
      </c>
      <c r="P106" s="122">
        <f>_xlfn.XLOOKUP(Rates!$O106,$J$6:$AI$6,J106:AI106)</f>
        <v>60</v>
      </c>
      <c r="Q106" s="124"/>
      <c r="R106" s="122"/>
      <c r="S106" s="126">
        <v>175</v>
      </c>
      <c r="T106" s="124"/>
      <c r="U106" s="126">
        <v>60</v>
      </c>
      <c r="V106" s="126"/>
      <c r="W106" s="126"/>
      <c r="X106" s="124"/>
      <c r="Y106" s="124"/>
      <c r="Z106" s="124"/>
      <c r="AA106" s="124"/>
      <c r="AB106" s="126"/>
      <c r="AC106" s="124"/>
      <c r="AD106" s="124"/>
      <c r="AE106" s="124"/>
      <c r="AF106" s="124"/>
      <c r="AG106" s="124"/>
      <c r="AH106" s="124"/>
      <c r="AI106" s="122">
        <v>130</v>
      </c>
    </row>
    <row r="107" spans="2:35" ht="12.5">
      <c r="B107" s="14" t="s">
        <v>616</v>
      </c>
      <c r="C107" s="149"/>
      <c r="D107" s="121" cm="1">
        <f t="array" ref="D107">IF(C107="",IFERROR(Rates!$P107*Inflation,"NV"),C107)</f>
        <v>135</v>
      </c>
      <c r="E107" s="238" t="s">
        <v>525</v>
      </c>
      <c r="F107" s="128" t="s">
        <v>1336</v>
      </c>
      <c r="G107" s="150"/>
      <c r="H107" s="132"/>
      <c r="J107" s="122">
        <f t="shared" si="6"/>
        <v>18.72</v>
      </c>
      <c r="K107" s="123">
        <f t="shared" si="39"/>
        <v>0.1609907120743034</v>
      </c>
      <c r="L107" s="122">
        <f t="shared" si="49"/>
        <v>116.28</v>
      </c>
      <c r="M107" s="130">
        <f t="shared" si="51"/>
        <v>125.64</v>
      </c>
      <c r="N107" s="122">
        <f t="shared" si="50"/>
        <v>135</v>
      </c>
      <c r="O107" s="124" t="s">
        <v>511</v>
      </c>
      <c r="P107" s="122">
        <f>_xlfn.XLOOKUP(Rates!$O107,$J$6:$AI$6,J107:AI107)</f>
        <v>135</v>
      </c>
      <c r="Q107" s="124"/>
      <c r="R107" s="122"/>
      <c r="S107" s="126">
        <v>116.28</v>
      </c>
      <c r="T107" s="124"/>
      <c r="U107" s="124"/>
      <c r="V107" s="124"/>
      <c r="W107" s="126">
        <v>135</v>
      </c>
      <c r="X107" s="124"/>
      <c r="Y107" s="124"/>
      <c r="Z107" s="124"/>
      <c r="AA107" s="124"/>
      <c r="AB107" s="124"/>
      <c r="AC107" s="124"/>
      <c r="AD107" s="124"/>
      <c r="AE107" s="124"/>
      <c r="AF107" s="124"/>
      <c r="AG107" s="124"/>
      <c r="AH107" s="124"/>
      <c r="AI107" s="122"/>
    </row>
    <row r="108" spans="2:35" ht="12.5">
      <c r="B108" s="14" t="s">
        <v>1163</v>
      </c>
      <c r="C108" s="149"/>
      <c r="D108" s="121" cm="1">
        <f t="array" ref="D108">IF(C108="",IFERROR(Rates!$P108*Inflation,"NV"),C108)</f>
        <v>339</v>
      </c>
      <c r="E108" s="238" t="s">
        <v>525</v>
      </c>
      <c r="F108" s="128" t="s">
        <v>526</v>
      </c>
      <c r="G108" s="150"/>
      <c r="H108" s="132"/>
      <c r="J108" s="122">
        <f t="shared" si="6"/>
        <v>0</v>
      </c>
      <c r="K108" s="123" t="str">
        <f t="shared" ref="K108:K128" si="52">IF(L108=0,"No min",$J108/$L108)</f>
        <v>No min</v>
      </c>
      <c r="L108" s="122">
        <f t="shared" si="49"/>
        <v>0</v>
      </c>
      <c r="M108" s="130" t="str">
        <f t="shared" si="51"/>
        <v>One / no rate</v>
      </c>
      <c r="N108" s="122">
        <f t="shared" si="50"/>
        <v>0</v>
      </c>
      <c r="O108" s="124" t="s">
        <v>522</v>
      </c>
      <c r="P108" s="122">
        <f>_xlfn.XLOOKUP(Rates!$O108,$J$6:$AI$6,J108:AI108)</f>
        <v>339</v>
      </c>
      <c r="Q108" s="124"/>
      <c r="R108" s="122"/>
      <c r="S108" s="126"/>
      <c r="T108" s="126"/>
      <c r="U108" s="126"/>
      <c r="V108" s="124"/>
      <c r="W108" s="124"/>
      <c r="X108" s="124"/>
      <c r="Y108" s="124"/>
      <c r="Z108" s="126"/>
      <c r="AA108" s="124"/>
      <c r="AB108" s="124"/>
      <c r="AC108" s="124"/>
      <c r="AD108" s="124"/>
      <c r="AE108" s="124"/>
      <c r="AF108" s="124"/>
      <c r="AG108" s="124"/>
      <c r="AH108" s="124"/>
      <c r="AI108" s="122">
        <v>339</v>
      </c>
    </row>
    <row r="109" spans="2:35" ht="12.5">
      <c r="B109" s="14" t="s">
        <v>617</v>
      </c>
      <c r="C109" s="149"/>
      <c r="D109" s="121" cm="1">
        <f t="array" ref="D109">IF(C109="",IFERROR(Rates!$P109*Inflation,"NV"),C109)</f>
        <v>187</v>
      </c>
      <c r="E109" s="238" t="s">
        <v>525</v>
      </c>
      <c r="F109" s="128" t="s">
        <v>526</v>
      </c>
      <c r="G109" s="150"/>
      <c r="H109" s="132"/>
      <c r="J109" s="122">
        <f t="shared" ref="J109:J139" si="53">$N109-$L109</f>
        <v>0</v>
      </c>
      <c r="K109" s="123">
        <f t="shared" si="52"/>
        <v>0</v>
      </c>
      <c r="L109" s="122">
        <f t="shared" si="49"/>
        <v>150</v>
      </c>
      <c r="M109" s="130">
        <f t="shared" si="51"/>
        <v>150</v>
      </c>
      <c r="N109" s="122">
        <f t="shared" si="50"/>
        <v>150</v>
      </c>
      <c r="O109" s="124" t="s">
        <v>522</v>
      </c>
      <c r="P109" s="122">
        <f>_xlfn.XLOOKUP(Rates!$O109,$J$6:$AI$6,J109:AI109)</f>
        <v>187</v>
      </c>
      <c r="Q109" s="124"/>
      <c r="R109" s="122"/>
      <c r="S109" s="126">
        <v>150</v>
      </c>
      <c r="T109" s="124"/>
      <c r="U109" s="124"/>
      <c r="V109" s="126"/>
      <c r="W109" s="126"/>
      <c r="X109" s="124"/>
      <c r="Y109" s="124"/>
      <c r="Z109" s="124"/>
      <c r="AA109" s="124"/>
      <c r="AB109" s="124"/>
      <c r="AC109" s="124"/>
      <c r="AD109" s="124"/>
      <c r="AE109" s="126"/>
      <c r="AF109" s="124"/>
      <c r="AG109" s="124"/>
      <c r="AH109" s="124"/>
      <c r="AI109" s="122">
        <v>187</v>
      </c>
    </row>
    <row r="110" spans="2:35" ht="12.5">
      <c r="B110" s="14" t="s">
        <v>618</v>
      </c>
      <c r="C110" s="149"/>
      <c r="D110" s="121" cm="1">
        <f t="array" ref="D110">IF(C110="",IFERROR(Rates!$P110*Inflation,"NV"),C110)</f>
        <v>70</v>
      </c>
      <c r="E110" s="238" t="s">
        <v>525</v>
      </c>
      <c r="F110" s="128" t="s">
        <v>1332</v>
      </c>
      <c r="G110" s="150"/>
      <c r="H110" s="132"/>
      <c r="J110" s="122">
        <f t="shared" si="53"/>
        <v>189.04044949692695</v>
      </c>
      <c r="K110" s="123">
        <f t="shared" si="52"/>
        <v>2.7005778499560993</v>
      </c>
      <c r="L110" s="122">
        <f t="shared" si="49"/>
        <v>70</v>
      </c>
      <c r="M110" s="130">
        <f t="shared" si="51"/>
        <v>164.52022474846348</v>
      </c>
      <c r="N110" s="122">
        <f t="shared" si="50"/>
        <v>259.04044949692695</v>
      </c>
      <c r="O110" s="124" t="s">
        <v>509</v>
      </c>
      <c r="P110" s="122">
        <f>_xlfn.XLOOKUP(Rates!$O110,$J$6:$AI$6,J110:AI110)</f>
        <v>70</v>
      </c>
      <c r="Q110" s="124"/>
      <c r="R110" s="122"/>
      <c r="S110" s="126">
        <v>259.04044949692695</v>
      </c>
      <c r="T110" s="126"/>
      <c r="U110" s="126">
        <v>70</v>
      </c>
      <c r="V110" s="124"/>
      <c r="W110" s="124"/>
      <c r="X110" s="124"/>
      <c r="Y110" s="124"/>
      <c r="Z110" s="124"/>
      <c r="AA110" s="124"/>
      <c r="AB110" s="124"/>
      <c r="AC110" s="124"/>
      <c r="AD110" s="124"/>
      <c r="AE110" s="124"/>
      <c r="AF110" s="124"/>
      <c r="AG110" s="124"/>
      <c r="AH110" s="124"/>
      <c r="AI110" s="122">
        <v>187</v>
      </c>
    </row>
    <row r="111" spans="2:35" ht="12.5">
      <c r="B111" s="37" t="s">
        <v>619</v>
      </c>
      <c r="C111" s="149"/>
      <c r="D111" s="121" cm="1">
        <f t="array" ref="D111">IF(C111="",IFERROR(Rates!$P111*Inflation,"NV"),C111)</f>
        <v>230</v>
      </c>
      <c r="E111" s="238" t="s">
        <v>525</v>
      </c>
      <c r="F111" s="128" t="s">
        <v>526</v>
      </c>
      <c r="G111" s="150"/>
      <c r="H111" s="129"/>
      <c r="J111" s="122">
        <f t="shared" ref="J111:J116" si="54">$N111-$L111</f>
        <v>0</v>
      </c>
      <c r="K111" s="123">
        <f t="shared" ref="K111:K116" si="55">IF(L111=0,"No min",$J111/$L111)</f>
        <v>0</v>
      </c>
      <c r="L111" s="122">
        <f t="shared" si="49"/>
        <v>231.54</v>
      </c>
      <c r="M111" s="130">
        <f t="shared" si="51"/>
        <v>231.54</v>
      </c>
      <c r="N111" s="122">
        <f t="shared" si="50"/>
        <v>231.54</v>
      </c>
      <c r="O111" s="124" t="s">
        <v>522</v>
      </c>
      <c r="P111" s="122">
        <f>_xlfn.XLOOKUP(Rates!$O111,$J$6:$AI$6,J111:AI111)</f>
        <v>230</v>
      </c>
      <c r="Q111" s="124"/>
      <c r="R111" s="122"/>
      <c r="S111" s="131">
        <v>231.54</v>
      </c>
      <c r="T111" s="131"/>
      <c r="U111" s="124"/>
      <c r="V111" s="124"/>
      <c r="W111" s="124"/>
      <c r="X111" s="124"/>
      <c r="Y111" s="124"/>
      <c r="Z111" s="124"/>
      <c r="AA111" s="124"/>
      <c r="AB111" s="124"/>
      <c r="AC111" s="124"/>
      <c r="AD111" s="124"/>
      <c r="AE111" s="124"/>
      <c r="AF111" s="124"/>
      <c r="AG111" s="124"/>
      <c r="AH111" s="124"/>
      <c r="AI111" s="122">
        <v>230</v>
      </c>
    </row>
    <row r="112" spans="2:35" ht="12.5">
      <c r="B112" s="37" t="s">
        <v>633</v>
      </c>
      <c r="C112" s="149"/>
      <c r="D112" s="121" cm="1">
        <f t="array" ref="D112">IF(C112="",IFERROR(Rates!$P112*Inflation,"NV"),C112)</f>
        <v>392.7</v>
      </c>
      <c r="E112" s="238" t="s">
        <v>525</v>
      </c>
      <c r="F112" s="128" t="s">
        <v>526</v>
      </c>
      <c r="G112" s="150"/>
      <c r="H112" s="129"/>
      <c r="J112" s="122">
        <f t="shared" si="54"/>
        <v>0</v>
      </c>
      <c r="K112" s="123" t="str">
        <f t="shared" si="55"/>
        <v>No min</v>
      </c>
      <c r="L112" s="122">
        <f t="shared" si="49"/>
        <v>0</v>
      </c>
      <c r="M112" s="130" t="str">
        <f t="shared" si="51"/>
        <v>One / no rate</v>
      </c>
      <c r="N112" s="122">
        <f t="shared" si="50"/>
        <v>0</v>
      </c>
      <c r="O112" s="124" t="s">
        <v>522</v>
      </c>
      <c r="P112" s="122">
        <f>_xlfn.XLOOKUP(Rates!$O112,$J$6:$AI$6,J112:AI112)</f>
        <v>392.7</v>
      </c>
      <c r="Q112" s="124"/>
      <c r="R112" s="122"/>
      <c r="S112" s="131"/>
      <c r="T112" s="131"/>
      <c r="U112" s="124"/>
      <c r="V112" s="124"/>
      <c r="W112" s="124"/>
      <c r="X112" s="124"/>
      <c r="Y112" s="124"/>
      <c r="Z112" s="124"/>
      <c r="AA112" s="124"/>
      <c r="AB112" s="124"/>
      <c r="AC112" s="124"/>
      <c r="AD112" s="124"/>
      <c r="AE112" s="124"/>
      <c r="AF112" s="124"/>
      <c r="AG112" s="124"/>
      <c r="AH112" s="124"/>
      <c r="AI112" s="122">
        <v>392.7</v>
      </c>
    </row>
    <row r="113" spans="2:35" ht="12.5">
      <c r="B113" s="37" t="s">
        <v>1244</v>
      </c>
      <c r="C113" s="149"/>
      <c r="D113" s="121" cm="1">
        <f t="array" ref="D113">IF(C113="",IFERROR(Rates!$P113*Inflation,"NV"),C113)</f>
        <v>166</v>
      </c>
      <c r="E113" s="238" t="s">
        <v>525</v>
      </c>
      <c r="F113" s="128" t="s">
        <v>526</v>
      </c>
      <c r="G113" s="150"/>
      <c r="H113" s="129"/>
      <c r="J113" s="122">
        <f t="shared" si="54"/>
        <v>0</v>
      </c>
      <c r="K113" s="123" t="str">
        <f t="shared" si="55"/>
        <v>No min</v>
      </c>
      <c r="L113" s="122">
        <f t="shared" ref="L113" si="56">MIN(R113:AH113)</f>
        <v>0</v>
      </c>
      <c r="M113" s="130" t="str">
        <f t="shared" si="51"/>
        <v>One / no rate</v>
      </c>
      <c r="N113" s="122">
        <f t="shared" ref="N113" si="57">MAX(R113:AH113)</f>
        <v>0</v>
      </c>
      <c r="O113" s="124" t="s">
        <v>522</v>
      </c>
      <c r="P113" s="122">
        <f>_xlfn.XLOOKUP(Rates!$O113,$J$6:$AI$6,J113:AI113)</f>
        <v>166</v>
      </c>
      <c r="Q113" s="124"/>
      <c r="R113" s="122"/>
      <c r="S113" s="131"/>
      <c r="T113" s="131"/>
      <c r="U113" s="124"/>
      <c r="V113" s="124"/>
      <c r="W113" s="124"/>
      <c r="X113" s="124"/>
      <c r="Y113" s="124"/>
      <c r="Z113" s="124"/>
      <c r="AA113" s="124"/>
      <c r="AB113" s="124"/>
      <c r="AC113" s="124"/>
      <c r="AD113" s="124"/>
      <c r="AE113" s="124"/>
      <c r="AF113" s="124"/>
      <c r="AG113" s="124"/>
      <c r="AH113" s="124"/>
      <c r="AI113" s="122">
        <v>166</v>
      </c>
    </row>
    <row r="114" spans="2:35" ht="12.5">
      <c r="B114" s="37" t="s">
        <v>620</v>
      </c>
      <c r="C114" s="149"/>
      <c r="D114" s="121" cm="1">
        <f t="array" ref="D114">IF(C114="",IFERROR(Rates!$P114*Inflation,"NV"),C114)</f>
        <v>125</v>
      </c>
      <c r="E114" s="238" t="s">
        <v>525</v>
      </c>
      <c r="F114" s="128" t="s">
        <v>1337</v>
      </c>
      <c r="G114" s="150"/>
      <c r="H114" s="129"/>
      <c r="J114" s="122">
        <f t="shared" si="54"/>
        <v>0</v>
      </c>
      <c r="K114" s="123">
        <f t="shared" si="55"/>
        <v>0</v>
      </c>
      <c r="L114" s="122">
        <f t="shared" si="49"/>
        <v>125</v>
      </c>
      <c r="M114" s="130">
        <f t="shared" si="51"/>
        <v>125</v>
      </c>
      <c r="N114" s="122">
        <f t="shared" si="50"/>
        <v>125</v>
      </c>
      <c r="O114" s="124" t="s">
        <v>511</v>
      </c>
      <c r="P114" s="122">
        <f>_xlfn.XLOOKUP(Rates!$O114,$J$6:$AI$6,J114:AI114)</f>
        <v>125</v>
      </c>
      <c r="Q114" s="124"/>
      <c r="R114" s="122"/>
      <c r="S114" s="122"/>
      <c r="T114" s="122"/>
      <c r="U114" s="124"/>
      <c r="V114" s="124"/>
      <c r="W114" s="126">
        <v>125</v>
      </c>
      <c r="X114" s="124"/>
      <c r="Y114" s="124"/>
      <c r="Z114" s="124"/>
      <c r="AA114" s="124"/>
      <c r="AB114" s="124"/>
      <c r="AC114" s="124"/>
      <c r="AD114" s="124"/>
      <c r="AE114" s="124"/>
      <c r="AF114" s="124"/>
      <c r="AG114" s="124"/>
      <c r="AH114" s="124"/>
      <c r="AI114" s="122"/>
    </row>
    <row r="115" spans="2:35" ht="12.5">
      <c r="B115" s="37" t="s">
        <v>621</v>
      </c>
      <c r="C115" s="149"/>
      <c r="D115" s="121" cm="1">
        <f t="array" ref="D115">IF(C115="",IFERROR(Rates!$P115*Inflation,"NV"),C115)</f>
        <v>324.54360000000003</v>
      </c>
      <c r="E115" s="238" t="s">
        <v>525</v>
      </c>
      <c r="F115" s="128" t="s">
        <v>622</v>
      </c>
      <c r="G115" s="150"/>
      <c r="H115" s="129"/>
      <c r="J115" s="122">
        <f t="shared" si="54"/>
        <v>0</v>
      </c>
      <c r="K115" s="123" t="str">
        <f t="shared" si="55"/>
        <v>No min</v>
      </c>
      <c r="L115" s="122">
        <f t="shared" si="49"/>
        <v>0</v>
      </c>
      <c r="M115" s="130" t="str">
        <f t="shared" si="51"/>
        <v>One / no rate</v>
      </c>
      <c r="N115" s="122">
        <f t="shared" si="50"/>
        <v>0</v>
      </c>
      <c r="O115" s="124" t="s">
        <v>522</v>
      </c>
      <c r="P115" s="122">
        <f>_xlfn.XLOOKUP(Rates!$O115,$J$6:$AI$6,J115:AI115)</f>
        <v>324.54360000000003</v>
      </c>
      <c r="Q115" s="124"/>
      <c r="R115" s="122"/>
      <c r="S115" s="122"/>
      <c r="T115" s="122"/>
      <c r="U115" s="124"/>
      <c r="V115" s="124"/>
      <c r="W115" s="124"/>
      <c r="X115" s="124"/>
      <c r="Y115" s="124"/>
      <c r="Z115" s="124"/>
      <c r="AA115" s="124"/>
      <c r="AB115" s="124"/>
      <c r="AC115" s="124"/>
      <c r="AD115" s="124"/>
      <c r="AE115" s="124"/>
      <c r="AF115" s="124"/>
      <c r="AG115" s="124"/>
      <c r="AH115" s="124"/>
      <c r="AI115" s="122">
        <v>324.54360000000003</v>
      </c>
    </row>
    <row r="116" spans="2:35" ht="12.5">
      <c r="B116" s="37" t="s">
        <v>1004</v>
      </c>
      <c r="C116" s="149"/>
      <c r="D116" s="121" cm="1">
        <f t="array" ref="D116">IF(C116="",IFERROR(Rates!$P116*Inflation,"NV"),C116)</f>
        <v>300</v>
      </c>
      <c r="E116" s="238" t="s">
        <v>525</v>
      </c>
      <c r="F116" s="128" t="s">
        <v>526</v>
      </c>
      <c r="G116" s="150"/>
      <c r="H116" s="129"/>
      <c r="J116" s="122">
        <f t="shared" si="54"/>
        <v>0</v>
      </c>
      <c r="K116" s="123" t="str">
        <f t="shared" si="55"/>
        <v>No min</v>
      </c>
      <c r="L116" s="122">
        <f t="shared" ref="L116" si="58">MIN(R116:AH116)</f>
        <v>0</v>
      </c>
      <c r="M116" s="130" t="str">
        <f t="shared" si="51"/>
        <v>One / no rate</v>
      </c>
      <c r="N116" s="122">
        <f t="shared" ref="N116" si="59">MAX(R116:AH116)</f>
        <v>0</v>
      </c>
      <c r="O116" s="124" t="s">
        <v>522</v>
      </c>
      <c r="P116" s="122">
        <f>_xlfn.XLOOKUP(Rates!$O116,$J$6:$AI$6,J116:AI116)</f>
        <v>300</v>
      </c>
      <c r="Q116" s="124"/>
      <c r="R116" s="122"/>
      <c r="S116" s="131"/>
      <c r="T116" s="131"/>
      <c r="U116" s="124"/>
      <c r="V116" s="124"/>
      <c r="W116" s="124"/>
      <c r="X116" s="124"/>
      <c r="Y116" s="124"/>
      <c r="Z116" s="124"/>
      <c r="AA116" s="124"/>
      <c r="AB116" s="124"/>
      <c r="AC116" s="124"/>
      <c r="AD116" s="124"/>
      <c r="AE116" s="124"/>
      <c r="AF116" s="124"/>
      <c r="AG116" s="124"/>
      <c r="AH116" s="124"/>
      <c r="AI116" s="122">
        <v>300</v>
      </c>
    </row>
    <row r="117" spans="2:35" ht="13">
      <c r="B117" s="260" t="s">
        <v>623</v>
      </c>
      <c r="C117" s="100"/>
      <c r="H117" s="238"/>
    </row>
    <row r="118" spans="2:35" ht="12.5">
      <c r="B118" s="37" t="s">
        <v>624</v>
      </c>
      <c r="C118" s="149"/>
      <c r="D118" s="121" cm="1">
        <f t="array" ref="D118">IF(C118="",IFERROR(Rates!$P118*Inflation,"NV"),C118)</f>
        <v>134.19</v>
      </c>
      <c r="E118" s="238" t="s">
        <v>602</v>
      </c>
      <c r="F118" s="128" t="s">
        <v>1164</v>
      </c>
      <c r="G118" s="150"/>
      <c r="H118" s="132"/>
      <c r="J118" s="122">
        <f>$N118-$L118</f>
        <v>0</v>
      </c>
      <c r="K118" s="123">
        <f>IF(L118=0,"No min",$J118/$L118)</f>
        <v>0</v>
      </c>
      <c r="L118" s="122">
        <f t="shared" ref="L118:L119" si="60">MIN(R118:AH118)</f>
        <v>134.19</v>
      </c>
      <c r="M118" s="130">
        <f t="shared" si="51"/>
        <v>134.19</v>
      </c>
      <c r="N118" s="122">
        <f t="shared" ref="N118:N119" si="61">MAX(R118:AH118)</f>
        <v>134.19</v>
      </c>
      <c r="O118" s="124" t="s">
        <v>518</v>
      </c>
      <c r="P118" s="122">
        <f>_xlfn.XLOOKUP(Rates!$O118,$J$6:$AI$6,J118:AI118)</f>
        <v>134.19</v>
      </c>
      <c r="Q118" s="124"/>
      <c r="R118" s="122"/>
      <c r="S118" s="124"/>
      <c r="T118" s="124"/>
      <c r="U118" s="124"/>
      <c r="V118" s="124"/>
      <c r="W118" s="124"/>
      <c r="X118" s="124"/>
      <c r="Y118" s="124"/>
      <c r="Z118" s="124"/>
      <c r="AA118" s="124"/>
      <c r="AB118" s="124"/>
      <c r="AC118" s="124"/>
      <c r="AD118" s="126">
        <v>134.19</v>
      </c>
      <c r="AE118" s="124"/>
      <c r="AF118" s="124"/>
      <c r="AG118" s="124"/>
      <c r="AH118" s="124"/>
      <c r="AI118" s="122"/>
    </row>
    <row r="119" spans="2:35" ht="12.5">
      <c r="B119" s="37" t="s">
        <v>625</v>
      </c>
      <c r="C119" s="149"/>
      <c r="D119" s="121" cm="1">
        <f t="array" ref="D119">IF(C119="",IFERROR(Rates!$P119*Inflation,"NV"),C119)</f>
        <v>200</v>
      </c>
      <c r="E119" s="238" t="s">
        <v>602</v>
      </c>
      <c r="F119" s="128"/>
      <c r="G119" s="150"/>
      <c r="H119" s="132"/>
      <c r="J119" s="122">
        <f>$N119-$L119</f>
        <v>0</v>
      </c>
      <c r="K119" s="123" t="str">
        <f>IF(L119=0,"No min",$J119/$L119)</f>
        <v>No min</v>
      </c>
      <c r="L119" s="122">
        <f t="shared" si="60"/>
        <v>0</v>
      </c>
      <c r="M119" s="130" t="str">
        <f t="shared" si="51"/>
        <v>One / no rate</v>
      </c>
      <c r="N119" s="122">
        <f t="shared" si="61"/>
        <v>0</v>
      </c>
      <c r="O119" s="124" t="s">
        <v>522</v>
      </c>
      <c r="P119" s="122">
        <f>_xlfn.XLOOKUP(Rates!$O119,$J$6:$AI$6,J119:AI119)</f>
        <v>200</v>
      </c>
      <c r="Q119" s="124"/>
      <c r="R119" s="122"/>
      <c r="S119" s="124"/>
      <c r="T119" s="124"/>
      <c r="U119" s="124"/>
      <c r="V119" s="124"/>
      <c r="W119" s="124"/>
      <c r="X119" s="124"/>
      <c r="Y119" s="124"/>
      <c r="Z119" s="124"/>
      <c r="AA119" s="124"/>
      <c r="AB119" s="124"/>
      <c r="AC119" s="124"/>
      <c r="AD119" s="131"/>
      <c r="AE119" s="124"/>
      <c r="AF119" s="124"/>
      <c r="AG119" s="124"/>
      <c r="AH119" s="124"/>
      <c r="AI119" s="122">
        <v>200</v>
      </c>
    </row>
    <row r="120" spans="2:35" ht="13">
      <c r="B120" s="260" t="s">
        <v>626</v>
      </c>
      <c r="C120" s="100"/>
      <c r="AI120" s="366"/>
    </row>
    <row r="121" spans="2:35" ht="12.5">
      <c r="B121" s="14" t="s">
        <v>627</v>
      </c>
      <c r="C121" s="149"/>
      <c r="D121" s="121" cm="1">
        <f t="array" ref="D121">IF(C121="",IFERROR(Rates!$P121*Inflation,"NV"),C121)</f>
        <v>70</v>
      </c>
      <c r="E121" s="238" t="s">
        <v>573</v>
      </c>
      <c r="F121" s="128" t="s">
        <v>1340</v>
      </c>
      <c r="G121" s="150"/>
      <c r="H121" s="132"/>
      <c r="J121" s="122">
        <f t="shared" si="53"/>
        <v>0</v>
      </c>
      <c r="K121" s="123">
        <f t="shared" si="52"/>
        <v>0</v>
      </c>
      <c r="L121" s="122">
        <f t="shared" ref="L121:L135" si="62">MIN(R121:AH121)</f>
        <v>70</v>
      </c>
      <c r="M121" s="130">
        <f>IFERROR(AVERAGE(R121:AH121),"One / no rate")</f>
        <v>70</v>
      </c>
      <c r="N121" s="122">
        <f t="shared" ref="N121:N135" si="63">MAX(R121:AH121)</f>
        <v>70</v>
      </c>
      <c r="O121" s="124" t="s">
        <v>512</v>
      </c>
      <c r="P121" s="122">
        <f>_xlfn.XLOOKUP(Rates!$O121,$J$6:$AI$6,J121:AI121)</f>
        <v>70</v>
      </c>
      <c r="Q121" s="124"/>
      <c r="R121" s="122"/>
      <c r="S121" s="124"/>
      <c r="T121" s="124"/>
      <c r="U121" s="124"/>
      <c r="V121" s="124"/>
      <c r="W121" s="124"/>
      <c r="X121" s="126">
        <v>70</v>
      </c>
      <c r="Y121" s="124"/>
      <c r="Z121" s="124"/>
      <c r="AA121" s="124"/>
      <c r="AB121" s="124"/>
      <c r="AC121" s="124"/>
      <c r="AD121" s="124"/>
      <c r="AE121" s="124"/>
      <c r="AF121" s="124"/>
      <c r="AG121" s="124"/>
      <c r="AH121" s="124"/>
      <c r="AI121" s="122"/>
    </row>
    <row r="122" spans="2:35" ht="12.5">
      <c r="B122" s="14" t="s">
        <v>288</v>
      </c>
      <c r="C122" s="149"/>
      <c r="D122" s="121" cm="1">
        <f t="array" ref="D122">IF(C122="",IFERROR(Rates!$P122*Inflation,"NV"),C122)</f>
        <v>0</v>
      </c>
      <c r="E122" s="238" t="s">
        <v>573</v>
      </c>
      <c r="F122" s="128" t="s">
        <v>628</v>
      </c>
      <c r="G122" s="150"/>
      <c r="H122" s="132"/>
      <c r="J122" s="122">
        <f t="shared" si="53"/>
        <v>0</v>
      </c>
      <c r="K122" s="123" t="str">
        <f t="shared" si="52"/>
        <v>No min</v>
      </c>
      <c r="L122" s="122">
        <f t="shared" si="62"/>
        <v>0</v>
      </c>
      <c r="M122" s="130">
        <f t="shared" ref="M122:M135" si="64">IFERROR(AVERAGE(R122:AH122),"One / no rate")</f>
        <v>0</v>
      </c>
      <c r="N122" s="122">
        <f t="shared" si="63"/>
        <v>0</v>
      </c>
      <c r="O122" s="124" t="s">
        <v>512</v>
      </c>
      <c r="P122" s="122">
        <f>_xlfn.XLOOKUP(Rates!$O122,$J$6:$AI$6,J122:AI122)</f>
        <v>0</v>
      </c>
      <c r="Q122" s="124"/>
      <c r="R122" s="122"/>
      <c r="S122" s="124"/>
      <c r="T122" s="124"/>
      <c r="U122" s="124"/>
      <c r="V122" s="124"/>
      <c r="W122" s="124"/>
      <c r="X122" s="126">
        <v>0</v>
      </c>
      <c r="Y122" s="124"/>
      <c r="Z122" s="124"/>
      <c r="AA122" s="124"/>
      <c r="AB122" s="124"/>
      <c r="AC122" s="124"/>
      <c r="AD122" s="124"/>
      <c r="AE122" s="124"/>
      <c r="AF122" s="124"/>
      <c r="AG122" s="124"/>
      <c r="AH122" s="124"/>
      <c r="AI122" s="122">
        <v>0</v>
      </c>
    </row>
    <row r="123" spans="2:35" ht="12.5">
      <c r="B123" s="14" t="s">
        <v>629</v>
      </c>
      <c r="C123" s="149"/>
      <c r="D123" s="121" cm="1">
        <f t="array" ref="D123">IF(C123="",IFERROR(Rates!$P123*Inflation,"NV"),C123)</f>
        <v>275</v>
      </c>
      <c r="E123" s="238" t="s">
        <v>573</v>
      </c>
      <c r="F123" s="128" t="s">
        <v>1165</v>
      </c>
      <c r="G123" s="150"/>
      <c r="J123" s="122">
        <f t="shared" si="53"/>
        <v>0</v>
      </c>
      <c r="K123" s="123">
        <f t="shared" si="52"/>
        <v>0</v>
      </c>
      <c r="L123" s="122">
        <f t="shared" si="62"/>
        <v>275</v>
      </c>
      <c r="M123" s="130">
        <f t="shared" si="64"/>
        <v>275</v>
      </c>
      <c r="N123" s="122">
        <f t="shared" si="63"/>
        <v>275</v>
      </c>
      <c r="O123" s="124" t="s">
        <v>512</v>
      </c>
      <c r="P123" s="122">
        <f>_xlfn.XLOOKUP(Rates!$O123,$J$6:$AI$6,J123:AI123)</f>
        <v>275</v>
      </c>
      <c r="Q123" s="124"/>
      <c r="R123" s="122">
        <v>275</v>
      </c>
      <c r="S123" s="124"/>
      <c r="T123" s="124"/>
      <c r="U123" s="124"/>
      <c r="V123" s="124"/>
      <c r="W123" s="124"/>
      <c r="X123" s="122">
        <v>275</v>
      </c>
      <c r="Y123" s="124"/>
      <c r="Z123" s="124"/>
      <c r="AA123" s="124"/>
      <c r="AB123" s="124"/>
      <c r="AC123" s="124"/>
      <c r="AD123" s="124"/>
      <c r="AE123" s="124"/>
      <c r="AF123" s="124"/>
      <c r="AG123" s="124"/>
      <c r="AH123" s="124"/>
      <c r="AI123" s="122">
        <v>300</v>
      </c>
    </row>
    <row r="124" spans="2:35" ht="12.5">
      <c r="B124" s="14" t="s">
        <v>1169</v>
      </c>
      <c r="C124" s="149"/>
      <c r="D124" s="121" cm="1">
        <f t="array" ref="D124">IF(C124="",IFERROR(Rates!$P124*Inflation,"NV"),C124)</f>
        <v>35</v>
      </c>
      <c r="E124" s="238" t="s">
        <v>573</v>
      </c>
      <c r="F124" s="128"/>
      <c r="G124" s="150"/>
      <c r="J124" s="122">
        <f t="shared" si="53"/>
        <v>0</v>
      </c>
      <c r="K124" s="123">
        <f t="shared" si="52"/>
        <v>0</v>
      </c>
      <c r="L124" s="122">
        <f t="shared" si="62"/>
        <v>35</v>
      </c>
      <c r="M124" s="130">
        <f t="shared" si="64"/>
        <v>35</v>
      </c>
      <c r="N124" s="122">
        <f t="shared" si="63"/>
        <v>35</v>
      </c>
      <c r="O124" s="124" t="s">
        <v>512</v>
      </c>
      <c r="P124" s="122">
        <f>_xlfn.XLOOKUP(Rates!$O124,$J$6:$AI$6,J124:AI124)</f>
        <v>35</v>
      </c>
      <c r="Q124" s="124"/>
      <c r="R124" s="122">
        <v>35</v>
      </c>
      <c r="S124" s="124"/>
      <c r="T124" s="124"/>
      <c r="U124" s="124"/>
      <c r="V124" s="124"/>
      <c r="W124" s="124"/>
      <c r="X124" s="122">
        <v>35</v>
      </c>
      <c r="Y124" s="124"/>
      <c r="Z124" s="124"/>
      <c r="AA124" s="124"/>
      <c r="AB124" s="124"/>
      <c r="AC124" s="124"/>
      <c r="AD124" s="124"/>
      <c r="AE124" s="124"/>
      <c r="AF124" s="124"/>
      <c r="AG124" s="124"/>
      <c r="AH124" s="124"/>
      <c r="AI124" s="122"/>
    </row>
    <row r="125" spans="2:35" ht="12.5">
      <c r="B125" s="14" t="s">
        <v>1170</v>
      </c>
      <c r="C125" s="149"/>
      <c r="D125" s="121" cm="1">
        <f t="array" ref="D125">IF(C125="",IFERROR(Rates!$P125*Inflation,"NV"),C125)</f>
        <v>90</v>
      </c>
      <c r="E125" s="238" t="s">
        <v>573</v>
      </c>
      <c r="F125" s="128"/>
      <c r="G125" s="150"/>
      <c r="J125" s="122">
        <f t="shared" si="53"/>
        <v>0</v>
      </c>
      <c r="K125" s="123">
        <f t="shared" si="52"/>
        <v>0</v>
      </c>
      <c r="L125" s="122">
        <f t="shared" si="62"/>
        <v>90</v>
      </c>
      <c r="M125" s="130">
        <f t="shared" si="64"/>
        <v>90</v>
      </c>
      <c r="N125" s="122">
        <f t="shared" si="63"/>
        <v>90</v>
      </c>
      <c r="O125" s="124" t="s">
        <v>512</v>
      </c>
      <c r="P125" s="122">
        <f>_xlfn.XLOOKUP(Rates!$O125,$J$6:$AI$6,J125:AI125)</f>
        <v>90</v>
      </c>
      <c r="Q125" s="124"/>
      <c r="R125" s="122">
        <v>90</v>
      </c>
      <c r="S125" s="124"/>
      <c r="T125" s="124"/>
      <c r="U125" s="124"/>
      <c r="V125" s="124"/>
      <c r="W125" s="124"/>
      <c r="X125" s="122">
        <v>90</v>
      </c>
      <c r="Y125" s="124"/>
      <c r="Z125" s="124"/>
      <c r="AA125" s="124"/>
      <c r="AB125" s="124"/>
      <c r="AC125" s="124"/>
      <c r="AD125" s="124"/>
      <c r="AE125" s="124"/>
      <c r="AF125" s="124"/>
      <c r="AG125" s="124"/>
      <c r="AH125" s="124"/>
      <c r="AI125" s="122"/>
    </row>
    <row r="126" spans="2:35" ht="12.5">
      <c r="B126" s="14" t="s">
        <v>1171</v>
      </c>
      <c r="C126" s="149"/>
      <c r="D126" s="121" cm="1">
        <f t="array" ref="D126">IF(C126="",IFERROR(Rates!$P126*Inflation,"NV"),C126)</f>
        <v>275</v>
      </c>
      <c r="E126" s="238" t="s">
        <v>573</v>
      </c>
      <c r="F126" s="128" t="s">
        <v>1165</v>
      </c>
      <c r="G126" s="150"/>
      <c r="J126" s="122">
        <f t="shared" si="53"/>
        <v>0</v>
      </c>
      <c r="K126" s="123">
        <f t="shared" si="52"/>
        <v>0</v>
      </c>
      <c r="L126" s="122">
        <f t="shared" si="62"/>
        <v>275</v>
      </c>
      <c r="M126" s="130">
        <f t="shared" si="64"/>
        <v>275</v>
      </c>
      <c r="N126" s="122">
        <f t="shared" si="63"/>
        <v>275</v>
      </c>
      <c r="O126" s="124" t="s">
        <v>512</v>
      </c>
      <c r="P126" s="122">
        <f>_xlfn.XLOOKUP(Rates!$O126,$J$6:$AI$6,J126:AI126)</f>
        <v>275</v>
      </c>
      <c r="Q126" s="124"/>
      <c r="R126" s="122">
        <v>275</v>
      </c>
      <c r="S126" s="124"/>
      <c r="T126" s="124"/>
      <c r="U126" s="124"/>
      <c r="V126" s="124"/>
      <c r="W126" s="124"/>
      <c r="X126" s="122">
        <v>275</v>
      </c>
      <c r="Y126" s="124"/>
      <c r="Z126" s="124"/>
      <c r="AA126" s="124"/>
      <c r="AB126" s="124"/>
      <c r="AC126" s="124"/>
      <c r="AD126" s="124"/>
      <c r="AE126" s="124"/>
      <c r="AF126" s="124"/>
      <c r="AG126" s="124"/>
      <c r="AH126" s="124"/>
      <c r="AI126" s="122"/>
    </row>
    <row r="127" spans="2:35" ht="12.5">
      <c r="B127" s="14" t="s">
        <v>1172</v>
      </c>
      <c r="C127" s="149"/>
      <c r="D127" s="121" cm="1">
        <f t="array" ref="D127">IF(C127="",IFERROR(Rates!$P127*Inflation,"NV"),C127)</f>
        <v>500</v>
      </c>
      <c r="E127" s="238" t="s">
        <v>573</v>
      </c>
      <c r="F127" s="128"/>
      <c r="G127" s="150"/>
      <c r="J127" s="122">
        <f t="shared" si="53"/>
        <v>0</v>
      </c>
      <c r="K127" s="123">
        <f t="shared" si="52"/>
        <v>0</v>
      </c>
      <c r="L127" s="122">
        <f t="shared" si="62"/>
        <v>500</v>
      </c>
      <c r="M127" s="130">
        <f t="shared" si="64"/>
        <v>500</v>
      </c>
      <c r="N127" s="122">
        <f t="shared" si="63"/>
        <v>500</v>
      </c>
      <c r="O127" s="124" t="s">
        <v>512</v>
      </c>
      <c r="P127" s="122">
        <f>_xlfn.XLOOKUP(Rates!$O127,$J$6:$AI$6,J127:AI127)</f>
        <v>500</v>
      </c>
      <c r="Q127" s="124"/>
      <c r="R127" s="122">
        <v>500</v>
      </c>
      <c r="S127" s="122"/>
      <c r="T127" s="124"/>
      <c r="U127" s="124"/>
      <c r="V127" s="124"/>
      <c r="W127" s="124"/>
      <c r="X127" s="122">
        <v>500</v>
      </c>
      <c r="Y127" s="124"/>
      <c r="Z127" s="124"/>
      <c r="AA127" s="124"/>
      <c r="AB127" s="124"/>
      <c r="AC127" s="124"/>
      <c r="AD127" s="124"/>
      <c r="AE127" s="124"/>
      <c r="AF127" s="124"/>
      <c r="AG127" s="124"/>
      <c r="AH127" s="124"/>
      <c r="AI127" s="122"/>
    </row>
    <row r="128" spans="2:35" ht="13.5" customHeight="1">
      <c r="B128" s="14" t="s">
        <v>1167</v>
      </c>
      <c r="C128" s="149"/>
      <c r="D128" s="121" cm="1">
        <f t="array" ref="D128">IF(C128="",IFERROR(Rates!$P128*Inflation,"NV"),C128)</f>
        <v>166</v>
      </c>
      <c r="E128" s="238" t="s">
        <v>573</v>
      </c>
      <c r="F128" s="147" t="s">
        <v>1341</v>
      </c>
      <c r="G128" s="150"/>
      <c r="J128" s="122">
        <f t="shared" si="53"/>
        <v>0</v>
      </c>
      <c r="K128" s="123">
        <f t="shared" si="52"/>
        <v>0</v>
      </c>
      <c r="L128" s="122">
        <f t="shared" si="62"/>
        <v>166</v>
      </c>
      <c r="M128" s="130">
        <f t="shared" si="64"/>
        <v>166</v>
      </c>
      <c r="N128" s="122">
        <f t="shared" si="63"/>
        <v>166</v>
      </c>
      <c r="O128" s="124" t="s">
        <v>512</v>
      </c>
      <c r="P128" s="122">
        <f>_xlfn.XLOOKUP(Rates!$O128,$J$6:$AI$6,J128:AI128)</f>
        <v>166</v>
      </c>
      <c r="Q128" s="124"/>
      <c r="R128" s="122"/>
      <c r="S128" s="124"/>
      <c r="T128" s="124"/>
      <c r="U128" s="124"/>
      <c r="V128" s="124"/>
      <c r="W128" s="124"/>
      <c r="X128" s="122">
        <v>166</v>
      </c>
      <c r="Y128" s="124"/>
      <c r="Z128" s="124"/>
      <c r="AA128" s="124"/>
      <c r="AB128" s="124"/>
      <c r="AC128" s="124"/>
      <c r="AD128" s="124"/>
      <c r="AE128" s="124"/>
      <c r="AF128" s="124"/>
      <c r="AG128" s="124"/>
      <c r="AH128" s="126"/>
      <c r="AI128" s="122"/>
    </row>
    <row r="129" spans="2:35" ht="13.5" customHeight="1">
      <c r="B129" s="14" t="s">
        <v>1168</v>
      </c>
      <c r="C129" s="149"/>
      <c r="D129" s="121" cm="1">
        <f t="array" ref="D129">IF(C129="",IFERROR(Rates!$P129*Inflation,"NV"),C129)</f>
        <v>83</v>
      </c>
      <c r="E129" s="238" t="s">
        <v>573</v>
      </c>
      <c r="F129" s="147" t="s">
        <v>1341</v>
      </c>
      <c r="G129" s="150"/>
      <c r="J129" s="122">
        <f t="shared" si="53"/>
        <v>0</v>
      </c>
      <c r="K129" s="123">
        <f t="shared" ref="K129" si="65">IF(L129=0,"No min",$J129/$L129)</f>
        <v>0</v>
      </c>
      <c r="L129" s="122">
        <f t="shared" si="62"/>
        <v>83</v>
      </c>
      <c r="M129" s="130">
        <f t="shared" si="64"/>
        <v>83</v>
      </c>
      <c r="N129" s="122">
        <f t="shared" si="63"/>
        <v>83</v>
      </c>
      <c r="O129" s="124" t="s">
        <v>512</v>
      </c>
      <c r="P129" s="122">
        <f>_xlfn.XLOOKUP(Rates!$O129,$J$6:$AI$6,J129:AI129)</f>
        <v>83</v>
      </c>
      <c r="Q129" s="124"/>
      <c r="R129" s="122"/>
      <c r="S129" s="124"/>
      <c r="T129" s="124"/>
      <c r="U129" s="124"/>
      <c r="V129" s="124"/>
      <c r="W129" s="124"/>
      <c r="X129" s="122">
        <v>83</v>
      </c>
      <c r="Y129" s="124"/>
      <c r="Z129" s="124"/>
      <c r="AA129" s="124"/>
      <c r="AB129" s="124"/>
      <c r="AC129" s="124"/>
      <c r="AD129" s="124"/>
      <c r="AE129" s="124"/>
      <c r="AF129" s="124"/>
      <c r="AG129" s="124"/>
      <c r="AH129" s="126"/>
      <c r="AI129" s="122"/>
    </row>
    <row r="130" spans="2:35" ht="12.5">
      <c r="B130" s="14" t="s">
        <v>260</v>
      </c>
      <c r="C130" s="149"/>
      <c r="D130" s="121" cm="1">
        <f t="array" ref="D130">IF(C130="",IFERROR(Rates!$P130*Inflation,"NV"),C130)</f>
        <v>1.5</v>
      </c>
      <c r="E130" s="238" t="s">
        <v>138</v>
      </c>
      <c r="F130" s="128"/>
      <c r="G130" s="150"/>
      <c r="J130" s="122">
        <f t="shared" si="53"/>
        <v>0</v>
      </c>
      <c r="K130" s="123" t="str">
        <f t="shared" ref="K130:K133" si="66">IF(L130=0,"No min",$J130/$L130)</f>
        <v>No min</v>
      </c>
      <c r="L130" s="122">
        <f t="shared" si="62"/>
        <v>0</v>
      </c>
      <c r="M130" s="130" t="str">
        <f t="shared" si="64"/>
        <v>One / no rate</v>
      </c>
      <c r="N130" s="122">
        <f t="shared" si="63"/>
        <v>0</v>
      </c>
      <c r="O130" s="124" t="s">
        <v>522</v>
      </c>
      <c r="P130" s="122">
        <f>_xlfn.XLOOKUP(Rates!$O130,$J$6:$AI$6,J130:AI130)</f>
        <v>1.5</v>
      </c>
      <c r="Q130" s="124"/>
      <c r="R130" s="122"/>
      <c r="S130" s="124"/>
      <c r="T130" s="124"/>
      <c r="U130" s="124"/>
      <c r="V130" s="124"/>
      <c r="W130" s="124"/>
      <c r="X130" s="126"/>
      <c r="Y130" s="124"/>
      <c r="Z130" s="124"/>
      <c r="AA130" s="124"/>
      <c r="AB130" s="124"/>
      <c r="AC130" s="124"/>
      <c r="AD130" s="124"/>
      <c r="AE130" s="124"/>
      <c r="AF130" s="124"/>
      <c r="AG130" s="124"/>
      <c r="AH130" s="126"/>
      <c r="AI130" s="122">
        <v>1.5</v>
      </c>
    </row>
    <row r="131" spans="2:35" ht="12.5">
      <c r="B131" s="14" t="s">
        <v>266</v>
      </c>
      <c r="C131" s="149"/>
      <c r="D131" s="121" cm="1">
        <f t="array" ref="D131">IF(C131="",IFERROR(Rates!$P131*Inflation,"NV"),C131)</f>
        <v>27</v>
      </c>
      <c r="E131" s="238" t="s">
        <v>138</v>
      </c>
      <c r="F131" s="128"/>
      <c r="G131" s="150"/>
      <c r="J131" s="122">
        <f t="shared" si="53"/>
        <v>0</v>
      </c>
      <c r="K131" s="123" t="str">
        <f t="shared" si="66"/>
        <v>No min</v>
      </c>
      <c r="L131" s="122">
        <f t="shared" si="62"/>
        <v>0</v>
      </c>
      <c r="M131" s="130" t="str">
        <f t="shared" si="64"/>
        <v>One / no rate</v>
      </c>
      <c r="N131" s="122">
        <f t="shared" si="63"/>
        <v>0</v>
      </c>
      <c r="O131" s="124" t="s">
        <v>522</v>
      </c>
      <c r="P131" s="122">
        <f>_xlfn.XLOOKUP(Rates!$O131,$J$6:$AI$6,J131:AI131)</f>
        <v>27</v>
      </c>
      <c r="Q131" s="124"/>
      <c r="R131" s="122"/>
      <c r="S131" s="124"/>
      <c r="T131" s="124"/>
      <c r="U131" s="124"/>
      <c r="V131" s="124"/>
      <c r="W131" s="124"/>
      <c r="X131" s="126"/>
      <c r="Y131" s="124"/>
      <c r="Z131" s="124"/>
      <c r="AA131" s="124"/>
      <c r="AB131" s="124"/>
      <c r="AC131" s="124"/>
      <c r="AD131" s="124"/>
      <c r="AE131" s="124"/>
      <c r="AF131" s="124"/>
      <c r="AG131" s="124"/>
      <c r="AH131" s="148"/>
      <c r="AI131" s="122">
        <v>27</v>
      </c>
    </row>
    <row r="132" spans="2:35" ht="12.5">
      <c r="B132" s="14" t="s">
        <v>375</v>
      </c>
      <c r="C132" s="149"/>
      <c r="D132" s="121" cm="1">
        <f t="array" ref="D132">IF(C132="",IFERROR(Rates!$P132*Inflation,"NV"),C132)</f>
        <v>250</v>
      </c>
      <c r="E132" s="238" t="s">
        <v>573</v>
      </c>
      <c r="F132" s="128"/>
      <c r="G132" s="150"/>
      <c r="J132" s="122">
        <f t="shared" si="53"/>
        <v>0</v>
      </c>
      <c r="K132" s="123" t="str">
        <f t="shared" si="66"/>
        <v>No min</v>
      </c>
      <c r="L132" s="122">
        <f t="shared" si="62"/>
        <v>0</v>
      </c>
      <c r="M132" s="130" t="str">
        <f t="shared" si="64"/>
        <v>One / no rate</v>
      </c>
      <c r="N132" s="122">
        <f t="shared" si="63"/>
        <v>0</v>
      </c>
      <c r="O132" s="124" t="s">
        <v>522</v>
      </c>
      <c r="P132" s="122">
        <f>_xlfn.XLOOKUP(Rates!$O132,$J$6:$AI$6,J132:AI132)</f>
        <v>250</v>
      </c>
      <c r="Q132" s="124"/>
      <c r="R132" s="122"/>
      <c r="S132" s="124"/>
      <c r="T132" s="124"/>
      <c r="U132" s="124"/>
      <c r="V132" s="124"/>
      <c r="W132" s="124"/>
      <c r="X132" s="126"/>
      <c r="Y132" s="124"/>
      <c r="Z132" s="124"/>
      <c r="AA132" s="124"/>
      <c r="AB132" s="124"/>
      <c r="AC132" s="124"/>
      <c r="AD132" s="124"/>
      <c r="AE132" s="124"/>
      <c r="AF132" s="124"/>
      <c r="AG132" s="124"/>
      <c r="AH132" s="126"/>
      <c r="AI132" s="122">
        <v>250</v>
      </c>
    </row>
    <row r="133" spans="2:35" ht="12.5">
      <c r="B133" s="14" t="s">
        <v>630</v>
      </c>
      <c r="C133" s="149"/>
      <c r="D133" s="121" cm="1">
        <f t="array" ref="D133">IF(C133="",IFERROR(Rates!$P133*Inflation,"NV"),C133)</f>
        <v>0</v>
      </c>
      <c r="E133" s="238" t="s">
        <v>376</v>
      </c>
      <c r="F133" s="128"/>
      <c r="G133" s="150"/>
      <c r="J133" s="122">
        <f t="shared" si="53"/>
        <v>0</v>
      </c>
      <c r="K133" s="123" t="str">
        <f t="shared" si="66"/>
        <v>No min</v>
      </c>
      <c r="L133" s="122">
        <f t="shared" si="62"/>
        <v>0</v>
      </c>
      <c r="M133" s="130" t="str">
        <f t="shared" si="64"/>
        <v>One / no rate</v>
      </c>
      <c r="N133" s="122">
        <f t="shared" si="63"/>
        <v>0</v>
      </c>
      <c r="O133" s="124" t="s">
        <v>522</v>
      </c>
      <c r="P133" s="122">
        <f>_xlfn.XLOOKUP(Rates!$O133,$J$6:$AI$6,J133:AI133)</f>
        <v>0</v>
      </c>
      <c r="Q133" s="124"/>
      <c r="R133" s="122"/>
      <c r="S133" s="124"/>
      <c r="T133" s="124"/>
      <c r="U133" s="124"/>
      <c r="V133" s="124"/>
      <c r="W133" s="124"/>
      <c r="X133" s="126"/>
      <c r="Y133" s="124"/>
      <c r="Z133" s="124"/>
      <c r="AA133" s="124"/>
      <c r="AB133" s="124"/>
      <c r="AC133" s="124"/>
      <c r="AD133" s="124"/>
      <c r="AE133" s="124"/>
      <c r="AF133" s="124"/>
      <c r="AG133" s="124"/>
      <c r="AH133" s="126"/>
      <c r="AI133" s="122">
        <v>0</v>
      </c>
    </row>
    <row r="134" spans="2:35" ht="12.5">
      <c r="B134" s="14" t="s">
        <v>1070</v>
      </c>
      <c r="C134" s="149"/>
      <c r="D134" s="121" cm="1">
        <f t="array" ref="D134">IF(C134="",IFERROR(Rates!$P134*Inflation,"NV"),C134)</f>
        <v>100</v>
      </c>
      <c r="E134" s="238" t="s">
        <v>445</v>
      </c>
      <c r="F134" s="128"/>
      <c r="G134" s="150"/>
      <c r="J134" s="122">
        <f t="shared" si="53"/>
        <v>0</v>
      </c>
      <c r="K134" s="123" t="str">
        <f t="shared" ref="K134:K135" si="67">IF(L134=0,"No min",$J134/$L134)</f>
        <v>No min</v>
      </c>
      <c r="L134" s="122">
        <f t="shared" si="62"/>
        <v>0</v>
      </c>
      <c r="M134" s="130" t="str">
        <f t="shared" si="64"/>
        <v>One / no rate</v>
      </c>
      <c r="N134" s="122">
        <f t="shared" si="63"/>
        <v>0</v>
      </c>
      <c r="O134" s="124" t="s">
        <v>522</v>
      </c>
      <c r="P134" s="122">
        <f>_xlfn.XLOOKUP(Rates!$O134,$J$6:$AI$6,J134:AI134)</f>
        <v>100</v>
      </c>
      <c r="Q134" s="124"/>
      <c r="R134" s="122"/>
      <c r="S134" s="124"/>
      <c r="T134" s="124"/>
      <c r="U134" s="124"/>
      <c r="V134" s="124"/>
      <c r="W134" s="124"/>
      <c r="X134" s="126"/>
      <c r="Y134" s="124"/>
      <c r="Z134" s="124"/>
      <c r="AA134" s="124"/>
      <c r="AB134" s="124"/>
      <c r="AC134" s="124"/>
      <c r="AD134" s="124"/>
      <c r="AE134" s="124"/>
      <c r="AF134" s="124"/>
      <c r="AG134" s="124"/>
      <c r="AH134" s="126"/>
      <c r="AI134" s="122">
        <v>100</v>
      </c>
    </row>
    <row r="135" spans="2:35" ht="12.5">
      <c r="B135" s="14" t="s">
        <v>457</v>
      </c>
      <c r="C135" s="149"/>
      <c r="D135" s="121" cm="1">
        <f t="array" ref="D135">IF(C135="",IFERROR(Rates!$P135*Inflation,"NV"),C135)</f>
        <v>0</v>
      </c>
      <c r="E135" s="238" t="s">
        <v>445</v>
      </c>
      <c r="F135" s="128"/>
      <c r="G135" s="150"/>
      <c r="J135" s="122">
        <f t="shared" si="53"/>
        <v>0</v>
      </c>
      <c r="K135" s="123" t="str">
        <f t="shared" si="67"/>
        <v>No min</v>
      </c>
      <c r="L135" s="122">
        <f t="shared" si="62"/>
        <v>0</v>
      </c>
      <c r="M135" s="130" t="str">
        <f t="shared" si="64"/>
        <v>One / no rate</v>
      </c>
      <c r="N135" s="122">
        <f t="shared" si="63"/>
        <v>0</v>
      </c>
      <c r="O135" s="124" t="s">
        <v>522</v>
      </c>
      <c r="P135" s="122">
        <f>_xlfn.XLOOKUP(Rates!$O135,$J$6:$AI$6,J135:AI135)</f>
        <v>0</v>
      </c>
      <c r="Q135" s="124"/>
      <c r="R135" s="122"/>
      <c r="S135" s="124"/>
      <c r="T135" s="124"/>
      <c r="U135" s="124"/>
      <c r="V135" s="124"/>
      <c r="W135" s="124"/>
      <c r="X135" s="126"/>
      <c r="Y135" s="124"/>
      <c r="Z135" s="124"/>
      <c r="AA135" s="124"/>
      <c r="AB135" s="124"/>
      <c r="AC135" s="124"/>
      <c r="AD135" s="124"/>
      <c r="AE135" s="124"/>
      <c r="AF135" s="124"/>
      <c r="AG135" s="124"/>
      <c r="AH135" s="126"/>
      <c r="AI135" s="122">
        <v>0</v>
      </c>
    </row>
    <row r="136" spans="2:35" ht="13">
      <c r="B136" s="260" t="s">
        <v>631</v>
      </c>
      <c r="C136" s="100"/>
      <c r="AI136" s="366"/>
    </row>
    <row r="137" spans="2:35" ht="12.5">
      <c r="B137" s="14" t="s">
        <v>632</v>
      </c>
      <c r="C137" s="149"/>
      <c r="D137" s="121" cm="1">
        <f t="array" ref="D137">IF(C137="",IFERROR(Rates!$P137*Inflation,"NV"),C137)</f>
        <v>230</v>
      </c>
      <c r="E137" s="238" t="s">
        <v>353</v>
      </c>
      <c r="F137" s="128" t="s">
        <v>1338</v>
      </c>
      <c r="G137" s="150"/>
      <c r="J137" s="122">
        <f t="shared" si="53"/>
        <v>0</v>
      </c>
      <c r="K137" s="123">
        <f t="shared" ref="K137:K139" si="68">IF(L137=0,"No min",$J137/$L137)</f>
        <v>0</v>
      </c>
      <c r="L137" s="122">
        <f t="shared" ref="L137:L139" si="69">MIN(R137:AH137)</f>
        <v>230</v>
      </c>
      <c r="M137" s="130">
        <f>IFERROR(AVERAGE(R137:AH137),"One / no rate")</f>
        <v>230</v>
      </c>
      <c r="N137" s="122">
        <f t="shared" ref="N137:N139" si="70">MAX(R137:AH137)</f>
        <v>230</v>
      </c>
      <c r="O137" s="124" t="s">
        <v>512</v>
      </c>
      <c r="P137" s="122">
        <f>_xlfn.XLOOKUP(Rates!$O137,$J$6:$AI$6,J137:AI137)</f>
        <v>230</v>
      </c>
      <c r="Q137" s="124"/>
      <c r="R137" s="122"/>
      <c r="S137" s="124"/>
      <c r="T137" s="124"/>
      <c r="U137" s="124"/>
      <c r="V137" s="124"/>
      <c r="W137" s="124"/>
      <c r="X137" s="122">
        <v>230</v>
      </c>
      <c r="Y137" s="124"/>
      <c r="Z137" s="124"/>
      <c r="AA137" s="124"/>
      <c r="AB137" s="124"/>
      <c r="AC137" s="124"/>
      <c r="AD137" s="124"/>
      <c r="AE137" s="124"/>
      <c r="AF137" s="124"/>
      <c r="AG137" s="124"/>
      <c r="AH137" s="124"/>
      <c r="AI137" s="122"/>
    </row>
    <row r="138" spans="2:35" ht="12.5">
      <c r="B138" s="14" t="s">
        <v>357</v>
      </c>
      <c r="C138" s="149"/>
      <c r="D138" s="121" cm="1">
        <f t="array" ref="D138">IF(C138="",IFERROR(Rates!$P138*Inflation,"NV"),C138)</f>
        <v>125</v>
      </c>
      <c r="E138" s="238" t="s">
        <v>353</v>
      </c>
      <c r="F138" s="128" t="s">
        <v>1339</v>
      </c>
      <c r="G138" s="150"/>
      <c r="J138" s="122">
        <f t="shared" si="53"/>
        <v>0</v>
      </c>
      <c r="K138" s="123">
        <f t="shared" si="68"/>
        <v>0</v>
      </c>
      <c r="L138" s="122">
        <f t="shared" si="69"/>
        <v>125</v>
      </c>
      <c r="M138" s="130">
        <f t="shared" ref="M138:M139" si="71">IFERROR(AVERAGE(R138:AH138),"One / no rate")</f>
        <v>125</v>
      </c>
      <c r="N138" s="122">
        <f t="shared" si="70"/>
        <v>125</v>
      </c>
      <c r="O138" s="124" t="s">
        <v>512</v>
      </c>
      <c r="P138" s="122">
        <f>_xlfn.XLOOKUP(Rates!$O138,$J$6:$AI$6,J138:AI138)</f>
        <v>125</v>
      </c>
      <c r="Q138" s="124"/>
      <c r="R138" s="122"/>
      <c r="S138" s="124"/>
      <c r="T138" s="124"/>
      <c r="U138" s="124"/>
      <c r="V138" s="124"/>
      <c r="W138" s="124"/>
      <c r="X138" s="126">
        <v>125</v>
      </c>
      <c r="Y138" s="124"/>
      <c r="Z138" s="124"/>
      <c r="AA138" s="124"/>
      <c r="AB138" s="124"/>
      <c r="AC138" s="124"/>
      <c r="AD138" s="124"/>
      <c r="AE138" s="124"/>
      <c r="AF138" s="124"/>
      <c r="AG138" s="124"/>
      <c r="AH138" s="124"/>
      <c r="AI138" s="122"/>
    </row>
    <row r="139" spans="2:35" ht="13.5" customHeight="1">
      <c r="B139" s="14" t="s">
        <v>1166</v>
      </c>
      <c r="C139" s="149"/>
      <c r="D139" s="121" cm="1">
        <f t="array" ref="D139">IF(C139="",IFERROR(Rates!$P139*Inflation,"NV"),C139)</f>
        <v>45</v>
      </c>
      <c r="E139" s="238" t="s">
        <v>353</v>
      </c>
      <c r="F139" s="147" t="s">
        <v>1341</v>
      </c>
      <c r="G139" s="150"/>
      <c r="J139" s="122">
        <f t="shared" si="53"/>
        <v>0</v>
      </c>
      <c r="K139" s="123">
        <f t="shared" si="68"/>
        <v>0</v>
      </c>
      <c r="L139" s="122">
        <f t="shared" si="69"/>
        <v>45</v>
      </c>
      <c r="M139" s="130">
        <f t="shared" si="71"/>
        <v>45</v>
      </c>
      <c r="N139" s="122">
        <f t="shared" si="70"/>
        <v>45</v>
      </c>
      <c r="O139" s="124" t="s">
        <v>512</v>
      </c>
      <c r="P139" s="122">
        <f>_xlfn.XLOOKUP(Rates!$O139,$J$6:$AI$6,J139:AI139)</f>
        <v>45</v>
      </c>
      <c r="Q139" s="124"/>
      <c r="R139" s="122"/>
      <c r="S139" s="124"/>
      <c r="T139" s="124"/>
      <c r="U139" s="124"/>
      <c r="V139" s="124"/>
      <c r="W139" s="124"/>
      <c r="X139" s="126">
        <v>45</v>
      </c>
      <c r="Y139" s="124"/>
      <c r="Z139" s="124"/>
      <c r="AA139" s="124"/>
      <c r="AB139" s="124"/>
      <c r="AC139" s="124"/>
      <c r="AD139" s="124"/>
      <c r="AE139" s="124"/>
      <c r="AF139" s="124"/>
      <c r="AG139" s="124"/>
      <c r="AH139" s="126"/>
      <c r="AI139" s="122"/>
    </row>
  </sheetData>
  <sheetProtection algorithmName="SHA-512" hashValue="ukMqRE7YAGpOz0FaoGa4y+Goto3i7LNjrbcOAOImECvojI+YShyWaZ21kE86TCt40TiPcgNdOIxLglSRrkwXig==" saltValue="GtS3C7zgYJZk7UZfCAJeaA==" spinCount="100000" sheet="1" objects="1" scenarios="1" autoFilter="0"/>
  <phoneticPr fontId="8" type="noConversion"/>
  <conditionalFormatting sqref="P4">
    <cfRule type="cellIs" dxfId="0" priority="3" operator="equal">
      <formula>0</formula>
    </cfRule>
  </conditionalFormatting>
  <dataValidations count="1">
    <dataValidation type="custom" allowBlank="1" showInputMessage="1" showErrorMessage="1" error="Please enter a numeric value." sqref="C9:C139" xr:uid="{F2FDB295-E477-44AB-8EDF-F258E72ED39E}">
      <formula1>ISNUMBER(C9:C139)</formula1>
    </dataValidation>
  </dataValidations>
  <hyperlinks>
    <hyperlink ref="B3" location="Information" display="Return to Information" xr:uid="{4DF339E6-B9AB-43C5-84B2-AD4FBCF8778F}"/>
    <hyperlink ref="F83" r:id="rId1" xr:uid="{4321517C-F5F0-4823-A1F4-3CF39C12A1FC}"/>
    <hyperlink ref="F121" r:id="rId2" display="https://srwra.com.au/media-downloads/gate-fees/Gate Fees 2025 - 2026.pdf" xr:uid="{D1E1DB4C-473F-4098-82FC-4D9D40C52FC1}"/>
    <hyperlink ref="F139" r:id="rId3" display="https://www.epa.sa.gov.au/business_and_industry/waste-levy" xr:uid="{91F78B50-5536-42C2-97E0-A3DA2B968584}"/>
    <hyperlink ref="F128" r:id="rId4" display="https://www.epa.sa.gov.au/business_and_industry/waste-levy" xr:uid="{BC58C882-9D32-4E17-B6AC-E19767D60BED}"/>
    <hyperlink ref="F129" r:id="rId5" display="https://www.epa.sa.gov.au/business_and_industry/waste-levy" xr:uid="{D6275484-5C7D-42C5-ADB9-E855AF1E6717}"/>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A6A11946-EA8E-4C8C-9633-24615715146D}">
          <x14:formula1>
            <xm:f>Lists!$B$79:$B$99</xm:f>
          </x14:formula1>
          <xm:sqref>O9:O139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dlc_DocId xmlns="9048425d-5800-4620-a8df-cc3024e53cba">2H7WWT6C665R-569171364-585</_dlc_DocId>
    <_dlc_DocIdUrl xmlns="9048425d-5800-4620-a8df-cc3024e53cba">
      <Url>https://ehssupport.sharepoint.com/sites/storage/_layouts/15/DocIdRedir.aspx?ID=2H7WWT6C665R-569171364-585</Url>
      <Description>2H7WWT6C665R-569171364-585</Description>
    </_dlc_DocIdUrl>
    <TaxCatchAll xmlns="9048425d-5800-4620-a8df-cc3024e53cba" xsi:nil="true"/>
    <lcf76f155ced4ddcb4097134ff3c332f xmlns="af28d96c-c3b4-4d65-99e4-2d729c7617af">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6A7B888FF612542A8FC6C9737B78FD6" ma:contentTypeVersion="13" ma:contentTypeDescription="Create a new document." ma:contentTypeScope="" ma:versionID="31d4c7a3782c2c1c79af4d46bb4f04db">
  <xsd:schema xmlns:xsd="http://www.w3.org/2001/XMLSchema" xmlns:xs="http://www.w3.org/2001/XMLSchema" xmlns:p="http://schemas.microsoft.com/office/2006/metadata/properties" xmlns:ns2="9048425d-5800-4620-a8df-cc3024e53cba" xmlns:ns3="af28d96c-c3b4-4d65-99e4-2d729c7617af" targetNamespace="http://schemas.microsoft.com/office/2006/metadata/properties" ma:root="true" ma:fieldsID="04e2f4d8de7403232c95dd80b25b24fc" ns2:_="" ns3:_="">
    <xsd:import namespace="9048425d-5800-4620-a8df-cc3024e53cba"/>
    <xsd:import namespace="af28d96c-c3b4-4d65-99e4-2d729c7617af"/>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ObjectDetectorVersions" minOccurs="0"/>
                <xsd:element ref="ns3:lcf76f155ced4ddcb4097134ff3c332f" minOccurs="0"/>
                <xsd:element ref="ns2:TaxCatchAll" minOccurs="0"/>
                <xsd:element ref="ns3:MediaServiceDateTaken" minOccurs="0"/>
                <xsd:element ref="ns3:MediaServiceOCR" minOccurs="0"/>
                <xsd:element ref="ns3:MediaServiceGenerationTime" minOccurs="0"/>
                <xsd:element ref="ns3:MediaServiceEventHashCod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48425d-5800-4620-a8df-cc3024e53cba"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7" nillable="true" ma:displayName="Taxonomy Catch All Column" ma:hidden="true" ma:list="{228a5984-3648-4572-96ca-b85713c8a628}" ma:internalName="TaxCatchAll" ma:showField="CatchAllData" ma:web="9048425d-5800-4620-a8df-cc3024e53cba">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f28d96c-c3b4-4d65-99e4-2d729c7617af"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4e4d4a1b-c417-4278-89c5-37eaff49a232"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5001EB4A-387F-4C41-BC24-6CA044AA7B9E}">
  <ds:schemaRefs>
    <ds:schemaRef ds:uri="http://schemas.microsoft.com/sharepoint/v3/contenttype/forms"/>
  </ds:schemaRefs>
</ds:datastoreItem>
</file>

<file path=customXml/itemProps2.xml><?xml version="1.0" encoding="utf-8"?>
<ds:datastoreItem xmlns:ds="http://schemas.openxmlformats.org/officeDocument/2006/customXml" ds:itemID="{27033718-EB71-49E7-A3A2-86451763E99C}">
  <ds:schemaRefs>
    <ds:schemaRef ds:uri="http://purl.org/dc/elements/1.1/"/>
    <ds:schemaRef ds:uri="http://purl.org/dc/terms/"/>
    <ds:schemaRef ds:uri="http://schemas.microsoft.com/office/2006/metadata/properties"/>
    <ds:schemaRef ds:uri="http://purl.org/dc/dcmitype/"/>
    <ds:schemaRef ds:uri="http://schemas.microsoft.com/office/2006/documentManagement/types"/>
    <ds:schemaRef ds:uri="af28d96c-c3b4-4d65-99e4-2d729c7617af"/>
    <ds:schemaRef ds:uri="9048425d-5800-4620-a8df-cc3024e53cba"/>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C8A4EB00-78E7-44A1-AD51-6F94F5734E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048425d-5800-4620-a8df-cc3024e53cba"/>
    <ds:schemaRef ds:uri="af28d96c-c3b4-4d65-99e4-2d729c7617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84C96539-B7D3-428D-B94D-02E42F799ADE}">
  <ds:schemaRefs>
    <ds:schemaRef ds:uri="http://schemas.microsoft.com/sharepoint/events"/>
  </ds:schemaRefs>
</ds:datastoreItem>
</file>

<file path=docMetadata/LabelInfo.xml><?xml version="1.0" encoding="utf-8"?>
<clbl:labelList xmlns:clbl="http://schemas.microsoft.com/office/2020/mipLabelMetadata">
  <clbl:label id="{072b9295-cb3f-462b-8aaa-a3f9988da704}" enabled="0" method="" siteId="{072b9295-cb3f-462b-8aaa-a3f9988da704}"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479</vt:i4>
      </vt:variant>
    </vt:vector>
  </HeadingPairs>
  <TitlesOfParts>
    <vt:vector size="495" baseType="lpstr">
      <vt:lpstr>Information</vt:lpstr>
      <vt:lpstr>User Guide</vt:lpstr>
      <vt:lpstr>Summary</vt:lpstr>
      <vt:lpstr>Solar</vt:lpstr>
      <vt:lpstr>Wind</vt:lpstr>
      <vt:lpstr>BESS</vt:lpstr>
      <vt:lpstr>Green Hydrogen</vt:lpstr>
      <vt:lpstr>Cost Schedule</vt:lpstr>
      <vt:lpstr>Rates</vt:lpstr>
      <vt:lpstr>Productivity</vt:lpstr>
      <vt:lpstr>Assumptions</vt:lpstr>
      <vt:lpstr>Panels</vt:lpstr>
      <vt:lpstr>Turbines</vt:lpstr>
      <vt:lpstr>Batteries</vt:lpstr>
      <vt:lpstr>Electrolysers</vt:lpstr>
      <vt:lpstr>Lists</vt:lpstr>
      <vt:lpstr>Admin_labour</vt:lpstr>
      <vt:lpstr>Admin_labour_rate</vt:lpstr>
      <vt:lpstr>Aluminium</vt:lpstr>
      <vt:lpstr>Ameliorants_app_rate</vt:lpstr>
      <vt:lpstr>Ameliorants_names</vt:lpstr>
      <vt:lpstr>Ameliorants_rates</vt:lpstr>
      <vt:lpstr>Ameliorants_rates_UR</vt:lpstr>
      <vt:lpstr>Ameliorants_soil_names_As</vt:lpstr>
      <vt:lpstr>Arid</vt:lpstr>
      <vt:lpstr>Asphalt_surface_cover</vt:lpstr>
      <vt:lpstr>Associate_Engineer_Geologist_Scientist</vt:lpstr>
      <vt:lpstr>Associate_Engineer_Geologist_Scientist_rate</vt:lpstr>
      <vt:lpstr>Assumptions</vt:lpstr>
      <vt:lpstr>Auditor_Director</vt:lpstr>
      <vt:lpstr>Auditor_Director_rate</vt:lpstr>
      <vt:lpstr>Backhoe_420F</vt:lpstr>
      <vt:lpstr>Backhoe_420F_rate</vt:lpstr>
      <vt:lpstr>Backhoe_attachments</vt:lpstr>
      <vt:lpstr>Backhoe_attachments_rate</vt:lpstr>
      <vt:lpstr>Electrolysers!Batteries</vt:lpstr>
      <vt:lpstr>Batteries</vt:lpstr>
      <vt:lpstr>BESS</vt:lpstr>
      <vt:lpstr>BESS_aluminium</vt:lpstr>
      <vt:lpstr>BESS_copper</vt:lpstr>
      <vt:lpstr>BESS_electronics</vt:lpstr>
      <vt:lpstr>BESS_fluids</vt:lpstr>
      <vt:lpstr>BESS_glass_etc</vt:lpstr>
      <vt:lpstr>BESS_headers</vt:lpstr>
      <vt:lpstr>BESS_LiFePO4_cells</vt:lpstr>
      <vt:lpstr>BESS_liquid</vt:lpstr>
      <vt:lpstr>BESS_mass</vt:lpstr>
      <vt:lpstr>BESS_models</vt:lpstr>
      <vt:lpstr>BESS_other</vt:lpstr>
      <vt:lpstr>BESS_plastics</vt:lpstr>
      <vt:lpstr>BESS_slab_footprint</vt:lpstr>
      <vt:lpstr>BESS_steel</vt:lpstr>
      <vt:lpstr>BESS_values</vt:lpstr>
      <vt:lpstr>Blades_haul_unload_distance_avg</vt:lpstr>
      <vt:lpstr>Blades_hub_haul_unload_names_UR</vt:lpstr>
      <vt:lpstr>Blades_hub_haul_unload_rates_UR</vt:lpstr>
      <vt:lpstr>Blades_hubs_per_truck</vt:lpstr>
      <vt:lpstr>Bolt_mass</vt:lpstr>
      <vt:lpstr>Bolt_removal_time</vt:lpstr>
      <vt:lpstr>Buildings_by_area_names_UR</vt:lpstr>
      <vt:lpstr>Buildings_by_area_removal_rates_UR</vt:lpstr>
      <vt:lpstr>Buildings_by_area_unit_CS</vt:lpstr>
      <vt:lpstr>Buildings_by_number_names_UR</vt:lpstr>
      <vt:lpstr>Buildings_by_number_removal_rates_UR</vt:lpstr>
      <vt:lpstr>Buried_tank_steel_thickness</vt:lpstr>
      <vt:lpstr>Cable_drums_haul_unload_distance_avg</vt:lpstr>
      <vt:lpstr>Cable_drums_haul_unload_names_UR</vt:lpstr>
      <vt:lpstr>Cable_drums_haul_unload_rates_UR</vt:lpstr>
      <vt:lpstr>Cables_haul_unload_distance_avg</vt:lpstr>
      <vt:lpstr>Compactor_CP633E_Sheepsfoot</vt:lpstr>
      <vt:lpstr>Compactor_CP633E_Sheepsfoot_rate</vt:lpstr>
      <vt:lpstr>Concrete_break_rate</vt:lpstr>
      <vt:lpstr>Concrete_crush_30mm</vt:lpstr>
      <vt:lpstr>Concrete_crush_50mm</vt:lpstr>
      <vt:lpstr>Concrete_crush_75mm</vt:lpstr>
      <vt:lpstr>Concrete_crush_names_UR</vt:lpstr>
      <vt:lpstr>Concrete_crush_rates_UR</vt:lpstr>
      <vt:lpstr>Concrete_crush_to_30mm_rate</vt:lpstr>
      <vt:lpstr>Concrete_crush_to_50mm_rate</vt:lpstr>
      <vt:lpstr>Concrete_crush_to_75mm_rate</vt:lpstr>
      <vt:lpstr>Concrete_crushing_plant</vt:lpstr>
      <vt:lpstr>Concrete_crushing_plant_rate</vt:lpstr>
      <vt:lpstr>Concrete_default_thickness</vt:lpstr>
      <vt:lpstr>Concrete_density</vt:lpstr>
      <vt:lpstr>Concrete_disposal_distance</vt:lpstr>
      <vt:lpstr>Concrete_footing_Module</vt:lpstr>
      <vt:lpstr>Concrete_recycle</vt:lpstr>
      <vt:lpstr>Concrete_slab_thickness_Transformer</vt:lpstr>
      <vt:lpstr>Concrete_surface_cover_Building</vt:lpstr>
      <vt:lpstr>Concrete_surface_cover_Parking</vt:lpstr>
      <vt:lpstr>Concrete_truck_packing_factor</vt:lpstr>
      <vt:lpstr>Construction_labour</vt:lpstr>
      <vt:lpstr>Construction_labour_rate</vt:lpstr>
      <vt:lpstr>Contingency_percentage</vt:lpstr>
      <vt:lpstr>Copper</vt:lpstr>
      <vt:lpstr>Copper_cables_haul_unload_names_UR</vt:lpstr>
      <vt:lpstr>Copper_cables_haul_unload_rates_UR</vt:lpstr>
      <vt:lpstr>Cost_Schedule</vt:lpstr>
      <vt:lpstr>Crane_1000t</vt:lpstr>
      <vt:lpstr>Crane_1000t_rate</vt:lpstr>
      <vt:lpstr>Crane_120t</vt:lpstr>
      <vt:lpstr>Crane_120t_rate</vt:lpstr>
      <vt:lpstr>Crane_20t</vt:lpstr>
      <vt:lpstr>Crane_20t_rate</vt:lpstr>
      <vt:lpstr>Crane_500t</vt:lpstr>
      <vt:lpstr>Crane_500t_rate</vt:lpstr>
      <vt:lpstr>Crane_50t</vt:lpstr>
      <vt:lpstr>Crane_50t_rate</vt:lpstr>
      <vt:lpstr>Demolition_crew</vt:lpstr>
      <vt:lpstr>Demolition_crew_rate</vt:lpstr>
      <vt:lpstr>Disposal_gate_fee_concrete_rubble_rate</vt:lpstr>
      <vt:lpstr>Disposal_gate_fee_Construction_Debris</vt:lpstr>
      <vt:lpstr>Disposal_gate_fee_Construction_Debris_rate</vt:lpstr>
      <vt:lpstr>Disposal_gate_fee_Low_level_solid_waste</vt:lpstr>
      <vt:lpstr>Disposal_gate_fee_Low_level_solid_waste_rate</vt:lpstr>
      <vt:lpstr>Disposal_gate_fee_names</vt:lpstr>
      <vt:lpstr>Disposal_gate_fee_oil_rate</vt:lpstr>
      <vt:lpstr>Disposal_gate_fee_oily_water</vt:lpstr>
      <vt:lpstr>Disposal_gate_fee_oily_water_rate</vt:lpstr>
      <vt:lpstr>Disposal_gate_fee_rates</vt:lpstr>
      <vt:lpstr>Disposal_gate_fee_Steel</vt:lpstr>
      <vt:lpstr>Distances_short</vt:lpstr>
      <vt:lpstr>Dogman</vt:lpstr>
      <vt:lpstr>Dogman_rate</vt:lpstr>
      <vt:lpstr>Double_skin_tank</vt:lpstr>
      <vt:lpstr>Dozer_applied</vt:lpstr>
      <vt:lpstr>Dozer_average_values_P</vt:lpstr>
      <vt:lpstr>Dozer_D6R</vt:lpstr>
      <vt:lpstr>Dozer_D8R</vt:lpstr>
      <vt:lpstr>Dozer_D8R_rate</vt:lpstr>
      <vt:lpstr>Dozer_lengths_L</vt:lpstr>
      <vt:lpstr>Dozer_lengths_P</vt:lpstr>
      <vt:lpstr>Dozer_names_P</vt:lpstr>
      <vt:lpstr>Dozer_push_length_P</vt:lpstr>
      <vt:lpstr>Dozer_rip_time_P</vt:lpstr>
      <vt:lpstr>Dozer_values_P</vt:lpstr>
      <vt:lpstr>Draftsman_Technician</vt:lpstr>
      <vt:lpstr>Draftsman_Technician_rate</vt:lpstr>
      <vt:lpstr>Drums_per_truck</vt:lpstr>
      <vt:lpstr>Electrical_cable_material</vt:lpstr>
      <vt:lpstr>Electrical_cables_km_per_drum_Ass</vt:lpstr>
      <vt:lpstr>Electrical_cables_names_Ass</vt:lpstr>
      <vt:lpstr>Electrician</vt:lpstr>
      <vt:lpstr>Electrician_rate</vt:lpstr>
      <vt:lpstr>Electrolyser_20ft_containers</vt:lpstr>
      <vt:lpstr>Electrolyser_40ft_containers</vt:lpstr>
      <vt:lpstr>Electrolyser_capacity</vt:lpstr>
      <vt:lpstr>Electrolyser_liquids</vt:lpstr>
      <vt:lpstr>Electrolyser_models</vt:lpstr>
      <vt:lpstr>Electrolysers_water_consumption</vt:lpstr>
      <vt:lpstr>Excavator_20t</vt:lpstr>
      <vt:lpstr>Excavator_20t_grapple</vt:lpstr>
      <vt:lpstr>Excavator_20t_grapple_rate</vt:lpstr>
      <vt:lpstr>Excavator_20t_hammer</vt:lpstr>
      <vt:lpstr>Excavator_20t_hammer_rate</vt:lpstr>
      <vt:lpstr>Excavator_20t_rate</vt:lpstr>
      <vt:lpstr>Excavator_20t_shears</vt:lpstr>
      <vt:lpstr>Excavator_20t_shears_rate</vt:lpstr>
      <vt:lpstr>Excavator_40t</vt:lpstr>
      <vt:lpstr>Excavator_40t_grapple</vt:lpstr>
      <vt:lpstr>Excavator_40t_grapple_rate</vt:lpstr>
      <vt:lpstr>Excavator_40t_hammer</vt:lpstr>
      <vt:lpstr>Excavator_40t_hammer_rate</vt:lpstr>
      <vt:lpstr>Excavator_40t_rate</vt:lpstr>
      <vt:lpstr>Excavator_40t_shears</vt:lpstr>
      <vt:lpstr>Excavator_40t_shears_rate</vt:lpstr>
      <vt:lpstr>Excavator_74t</vt:lpstr>
      <vt:lpstr>Excavator_74t_grapple</vt:lpstr>
      <vt:lpstr>Excavator_74t_grapple_rate</vt:lpstr>
      <vt:lpstr>Excavator_74t_hammer</vt:lpstr>
      <vt:lpstr>Excavator_74t_hammer_rate</vt:lpstr>
      <vt:lpstr>Excavator_74t_rate</vt:lpstr>
      <vt:lpstr>Excavator_74t_shears</vt:lpstr>
      <vt:lpstr>Excavator_74t_shears_rate</vt:lpstr>
      <vt:lpstr>Excavator_Cut_Cladding</vt:lpstr>
      <vt:lpstr>Excavator_Cut_Pipe</vt:lpstr>
      <vt:lpstr>Excavator_Cut_Steel_Plate</vt:lpstr>
      <vt:lpstr>Excavator_PC_1900</vt:lpstr>
      <vt:lpstr>Excavator_PC_1900_rate</vt:lpstr>
      <vt:lpstr>Explosives_for_wind_turbine_collapse</vt:lpstr>
      <vt:lpstr>Explosives_wind_turbine_collapse_rate</vt:lpstr>
      <vt:lpstr>Fertiliser_app_rate</vt:lpstr>
      <vt:lpstr>Fertiliser_Ass</vt:lpstr>
      <vt:lpstr>Fertiliser_names</vt:lpstr>
      <vt:lpstr>Fertiliser_native</vt:lpstr>
      <vt:lpstr>Fertiliser_native_app_rate</vt:lpstr>
      <vt:lpstr>Fertiliser_native_rate</vt:lpstr>
      <vt:lpstr>Fertiliser_pasture</vt:lpstr>
      <vt:lpstr>Fertiliser_pasture_app_rate</vt:lpstr>
      <vt:lpstr>Fertiliser_pasture_rate</vt:lpstr>
      <vt:lpstr>Fertiliser_rates</vt:lpstr>
      <vt:lpstr>Foreperson</vt:lpstr>
      <vt:lpstr>Foreperson_rate</vt:lpstr>
      <vt:lpstr>Foundation_bolts_per_m2</vt:lpstr>
      <vt:lpstr>Foundation_demolition_large_rate</vt:lpstr>
      <vt:lpstr>Foundation_demolition_small_rate</vt:lpstr>
      <vt:lpstr>Fuel_tanker</vt:lpstr>
      <vt:lpstr>Fuel_tanker_rate</vt:lpstr>
      <vt:lpstr>Gas_Axe</vt:lpstr>
      <vt:lpstr>Gas_Axe_rate</vt:lpstr>
      <vt:lpstr>Grader_12M</vt:lpstr>
      <vt:lpstr>Grader_12M_rate</vt:lpstr>
      <vt:lpstr>Grader_14M</vt:lpstr>
      <vt:lpstr>Grader_14M_rate</vt:lpstr>
      <vt:lpstr>Gravel_rock_track_road_cover_thickness</vt:lpstr>
      <vt:lpstr>Gravel_surface_cover</vt:lpstr>
      <vt:lpstr>GREEN_HYDROGEN</vt:lpstr>
      <vt:lpstr>Growth_media_thickness</vt:lpstr>
      <vt:lpstr>Gypsum</vt:lpstr>
      <vt:lpstr>Gypsum_rate</vt:lpstr>
      <vt:lpstr>Handcast</vt:lpstr>
      <vt:lpstr>Handcast_Native_seed_rate_UR</vt:lpstr>
      <vt:lpstr>Handcast_Pasture_seed_rate_UR</vt:lpstr>
      <vt:lpstr>HDPE_Welder</vt:lpstr>
      <vt:lpstr>HDPE_Welder_rate</vt:lpstr>
      <vt:lpstr>Health_and_Safety_Lead</vt:lpstr>
      <vt:lpstr>Health_and_Safety_Lead_rate</vt:lpstr>
      <vt:lpstr>Hours_per_day</vt:lpstr>
      <vt:lpstr>Hydro_rig</vt:lpstr>
      <vt:lpstr>Hydro_rig_rate</vt:lpstr>
      <vt:lpstr>Hydromulch_BFM_native_seed</vt:lpstr>
      <vt:lpstr>Hydromulch_BFM_native_seed_rate</vt:lpstr>
      <vt:lpstr>Hydromulch_BFM_pasture_seed</vt:lpstr>
      <vt:lpstr>Hydromulch_BFM_pasture_seed_rate</vt:lpstr>
      <vt:lpstr>Hydromulch_BGM_native_seed</vt:lpstr>
      <vt:lpstr>Hydromulch_BGM_native_seed_rate</vt:lpstr>
      <vt:lpstr>Hydromulch_BGM_pasture_seed</vt:lpstr>
      <vt:lpstr>Hydromulch_BGM_pasture_seed_rate</vt:lpstr>
      <vt:lpstr>Hydromulch_FRM_native_seed</vt:lpstr>
      <vt:lpstr>Hydromulch_FRM_native_seed_rate</vt:lpstr>
      <vt:lpstr>Hydromulch_FRM_pasture_seed</vt:lpstr>
      <vt:lpstr>Hydromulch_FRM_pasture_seed_rate</vt:lpstr>
      <vt:lpstr>Hydromulching_BFM_productivity</vt:lpstr>
      <vt:lpstr>Hydromulching_BGM_productivity</vt:lpstr>
      <vt:lpstr>Hydromulching_FRM_productivity</vt:lpstr>
      <vt:lpstr>Hydrosapps_app_rates_Ass</vt:lpstr>
      <vt:lpstr>Hydrosapps_names_Ass</vt:lpstr>
      <vt:lpstr>Hydroseeding_native_seed</vt:lpstr>
      <vt:lpstr>Hydroseeding_native_seed_rate</vt:lpstr>
      <vt:lpstr>Hydroseeding_pasture_seed</vt:lpstr>
      <vt:lpstr>Hydroseeding_pasture_seed_rate</vt:lpstr>
      <vt:lpstr>Hydroseeding_productivity</vt:lpstr>
      <vt:lpstr>Information</vt:lpstr>
      <vt:lpstr>Junior_Engineer_Geologist_Scientist</vt:lpstr>
      <vt:lpstr>Junior_Engineer_Geologist_Scientist_rate</vt:lpstr>
      <vt:lpstr>kilograms_in_tonnes</vt:lpstr>
      <vt:lpstr>Kilolitres_in_megalitres</vt:lpstr>
      <vt:lpstr>Labour_General</vt:lpstr>
      <vt:lpstr>Labour_General_rate</vt:lpstr>
      <vt:lpstr>Large_turbine</vt:lpstr>
      <vt:lpstr>Lime</vt:lpstr>
      <vt:lpstr>Lime_rate</vt:lpstr>
      <vt:lpstr>Liquid_waste_disposal_distance</vt:lpstr>
      <vt:lpstr>Litres_in_kilolitres</vt:lpstr>
      <vt:lpstr>Load_haul_dump_concrete_onsite_names_UR</vt:lpstr>
      <vt:lpstr>Load_haul_dump_concrete_onsite_rates_UR</vt:lpstr>
      <vt:lpstr>Load_haul_dump_growth_media_distance_avg</vt:lpstr>
      <vt:lpstr>Load_haul_dump_growth_media_onsite_names_UR</vt:lpstr>
      <vt:lpstr>Load_haul_dump_growth_media_onsite_rates_UR</vt:lpstr>
      <vt:lpstr>Load_haul_dump_modules_distance_avg</vt:lpstr>
      <vt:lpstr>Load_haul_dump_oil_distance_avg</vt:lpstr>
      <vt:lpstr>Load_haul_dump_rubble_distance_avg</vt:lpstr>
      <vt:lpstr>Load_haul_dump_soil_ameliorants_from_off_site_names_UR</vt:lpstr>
      <vt:lpstr>Load_haul_dump_soil_ameliorants_from_off_site_rates_UR</vt:lpstr>
      <vt:lpstr>Load_haul_dump_steel_distance_avg</vt:lpstr>
      <vt:lpstr>Load_haul_names_L</vt:lpstr>
      <vt:lpstr>Loader_980M</vt:lpstr>
      <vt:lpstr>Loader_980M_rate</vt:lpstr>
      <vt:lpstr>Long_haul_distance_average_L</vt:lpstr>
      <vt:lpstr>Long_haul_distance_names_L</vt:lpstr>
      <vt:lpstr>Long_haul_names_concrete_UR</vt:lpstr>
      <vt:lpstr>Long_haul_names_modules_UR</vt:lpstr>
      <vt:lpstr>Long_haul_names_oil_UR</vt:lpstr>
      <vt:lpstr>Long_haul_names_steel_UR</vt:lpstr>
      <vt:lpstr>Long_haul_rates_ameliorants_UR</vt:lpstr>
      <vt:lpstr>Long_haul_rates_concrete_UR</vt:lpstr>
      <vt:lpstr>Long_haul_rates_modules_UR</vt:lpstr>
      <vt:lpstr>Long_haul_rates_oil_UR</vt:lpstr>
      <vt:lpstr>Long_haul_rates_steel_UR</vt:lpstr>
      <vt:lpstr>Materials_list</vt:lpstr>
      <vt:lpstr>Mechanical_Fitter</vt:lpstr>
      <vt:lpstr>Mechanical_Fitter_rate</vt:lpstr>
      <vt:lpstr>Metres_in_kilometres</vt:lpstr>
      <vt:lpstr>Metres_min_in_kilometres_hour</vt:lpstr>
      <vt:lpstr>Millimetres_in_metres</vt:lpstr>
      <vt:lpstr>Minutes_in_hour</vt:lpstr>
      <vt:lpstr>Mobe_names_BESS_CS</vt:lpstr>
      <vt:lpstr>Mobe_names_electrical_CS</vt:lpstr>
      <vt:lpstr>Mobe_names_land_CS</vt:lpstr>
      <vt:lpstr>Mobe_names_solar_CS</vt:lpstr>
      <vt:lpstr>Mobe_names_wind_CS</vt:lpstr>
      <vt:lpstr>Mobe_rates_BESS_CS</vt:lpstr>
      <vt:lpstr>Mobe_rates_electrical_CS</vt:lpstr>
      <vt:lpstr>Mobe_rates_land_CS</vt:lpstr>
      <vt:lpstr>Mobe_rates_solar_CS</vt:lpstr>
      <vt:lpstr>Mobe_rates_wind_CS</vt:lpstr>
      <vt:lpstr>Nacelles_haul_unload_distance_avg</vt:lpstr>
      <vt:lpstr>Nacelles_haul_unload_names_UR</vt:lpstr>
      <vt:lpstr>Nacelles_haul_unload_rates_UR</vt:lpstr>
      <vt:lpstr>Nacelles_per_truck</vt:lpstr>
      <vt:lpstr>Native</vt:lpstr>
      <vt:lpstr>Native_seed</vt:lpstr>
      <vt:lpstr>Native_seed_rate</vt:lpstr>
      <vt:lpstr>Number_of_steel_bolts_per_m2_foundation_coefficient_1</vt:lpstr>
      <vt:lpstr>Number_of_steel_bolts_per_m2_foundation_coefficient_2</vt:lpstr>
      <vt:lpstr>Oil_recycle</vt:lpstr>
      <vt:lpstr>Oil_recycle_rate</vt:lpstr>
      <vt:lpstr>Ongoing_monitoring_percentage</vt:lpstr>
      <vt:lpstr>Panel_tank_mass_capture_cable_15.2mm</vt:lpstr>
      <vt:lpstr>Panel_tank_mass_reinforcing_cable_12.7mm</vt:lpstr>
      <vt:lpstr>Panels</vt:lpstr>
      <vt:lpstr>Panels_haul_unload_distance_avg</vt:lpstr>
      <vt:lpstr>Panels_haul_unload_names_UR</vt:lpstr>
      <vt:lpstr>Panels_haul_unload_rates_UR</vt:lpstr>
      <vt:lpstr>Panels_headers</vt:lpstr>
      <vt:lpstr>Panels_models</vt:lpstr>
      <vt:lpstr>Panels_units</vt:lpstr>
      <vt:lpstr>Panels_values</vt:lpstr>
      <vt:lpstr>Panhandler</vt:lpstr>
      <vt:lpstr>Panhandler_rate</vt:lpstr>
      <vt:lpstr>Pasture</vt:lpstr>
      <vt:lpstr>Pasture_seed</vt:lpstr>
      <vt:lpstr>Pasture_seed_rate</vt:lpstr>
      <vt:lpstr>Plant</vt:lpstr>
      <vt:lpstr>Plant_and_seed_app_rate</vt:lpstr>
      <vt:lpstr>Plant_and_seed_names_Ass</vt:lpstr>
      <vt:lpstr>Plant_and_seed_names_R</vt:lpstr>
      <vt:lpstr>Principal_Engineer_Geologist_Scientist</vt:lpstr>
      <vt:lpstr>Principal_Engineer_Geologist_Scientist_rate</vt:lpstr>
      <vt:lpstr>Productivity</vt:lpstr>
      <vt:lpstr>Project_management_percentage</vt:lpstr>
      <vt:lpstr>Project_Manager</vt:lpstr>
      <vt:lpstr>Project_Manager_rate</vt:lpstr>
      <vt:lpstr>Project_Name</vt:lpstr>
      <vt:lpstr>Pump_4_inch_dewater_with_hoses</vt:lpstr>
      <vt:lpstr>Pump_4_inch_dewater_with_hoses_rate</vt:lpstr>
      <vt:lpstr>Pump_Truck_Tanker</vt:lpstr>
      <vt:lpstr>Pump_Truck_Tanker_rate</vt:lpstr>
      <vt:lpstr>Rail_loading_bin_steel_thickness</vt:lpstr>
      <vt:lpstr>Rate_unit</vt:lpstr>
      <vt:lpstr>Rates</vt:lpstr>
      <vt:lpstr>Rates_name</vt:lpstr>
      <vt:lpstr>Remove_met_mast_rate</vt:lpstr>
      <vt:lpstr>Remove_oil_from_gearbox_rate_UR</vt:lpstr>
      <vt:lpstr>Remove_powerline_rate</vt:lpstr>
      <vt:lpstr>Reporting_documentation_names_UR</vt:lpstr>
      <vt:lpstr>Reporting_documentation_rates_UR</vt:lpstr>
      <vt:lpstr>Revegetation_names_UR</vt:lpstr>
      <vt:lpstr>Revegetation_rates_UR</vt:lpstr>
      <vt:lpstr>Rigger</vt:lpstr>
      <vt:lpstr>Rigger_rate</vt:lpstr>
      <vt:lpstr>Roads_tracks_laydown_list_UR</vt:lpstr>
      <vt:lpstr>Rock_cover_density</vt:lpstr>
      <vt:lpstr>Scrap_aluminium_and_alloy</vt:lpstr>
      <vt:lpstr>Scrap_aluminium_and_alloy_rate</vt:lpstr>
      <vt:lpstr>Scrap_copper_and_alloy</vt:lpstr>
      <vt:lpstr>Scrap_copper_and_alloy_rate</vt:lpstr>
      <vt:lpstr>Scrap_glass</vt:lpstr>
      <vt:lpstr>Scrap_glass_rate</vt:lpstr>
      <vt:lpstr>Scrap_silver</vt:lpstr>
      <vt:lpstr>Scrap_silver_rate</vt:lpstr>
      <vt:lpstr>Scrap_stainless_steel</vt:lpstr>
      <vt:lpstr>Scrap_stainless_steel_rate</vt:lpstr>
      <vt:lpstr>Scrap_steel</vt:lpstr>
      <vt:lpstr>Scrap_steel_rate</vt:lpstr>
      <vt:lpstr>Scrapyard_distance</vt:lpstr>
      <vt:lpstr>Section_length__blades_and_tower__for_collapse_method</vt:lpstr>
      <vt:lpstr>Section_per_truck_for_collapse_method</vt:lpstr>
      <vt:lpstr>Seed_and_plant_rates</vt:lpstr>
      <vt:lpstr>Semi_tipper_max_mass</vt:lpstr>
      <vt:lpstr>Semi_tipper_max_volume</vt:lpstr>
      <vt:lpstr>Semi_tipper_maximum_volume___concrete</vt:lpstr>
      <vt:lpstr>Senior_Principal_Engineer_Geologist_Scientist</vt:lpstr>
      <vt:lpstr>Senior_Principal_Engineer_Geologist_Scientist_rate</vt:lpstr>
      <vt:lpstr>Senior_Project_Manager</vt:lpstr>
      <vt:lpstr>Senior_Project_Manager_rate</vt:lpstr>
      <vt:lpstr>Silo_steel_thickness</vt:lpstr>
      <vt:lpstr>Single_skin_tank</vt:lpstr>
      <vt:lpstr>Sludge_density</vt:lpstr>
      <vt:lpstr>Small_turbine</vt:lpstr>
      <vt:lpstr>Soil_density</vt:lpstr>
      <vt:lpstr>SOLAR</vt:lpstr>
      <vt:lpstr>Solar_panels_per_truck</vt:lpstr>
      <vt:lpstr>Specific_mass_50mm_steel_pipe</vt:lpstr>
      <vt:lpstr>Specific_mass_of_structural_steel_columns</vt:lpstr>
      <vt:lpstr>Specific_mass_of_structural_steel_cross_beams</vt:lpstr>
      <vt:lpstr>Spray</vt:lpstr>
      <vt:lpstr>Spread_ameliorants_rate</vt:lpstr>
      <vt:lpstr>Square_metres_in_hectare</vt:lpstr>
      <vt:lpstr>Steel_cable_cut_rate_excavator</vt:lpstr>
      <vt:lpstr>Steel_density</vt:lpstr>
      <vt:lpstr>Steel_disposal_distance</vt:lpstr>
      <vt:lpstr>Steel_floor</vt:lpstr>
      <vt:lpstr>Steel_roof</vt:lpstr>
      <vt:lpstr>Steel_roof_specific_mass</vt:lpstr>
      <vt:lpstr>Steel_wall</vt:lpstr>
      <vt:lpstr>Storage_general_distance</vt:lpstr>
      <vt:lpstr>Substation_rates_UR</vt:lpstr>
      <vt:lpstr>Substation_sizes_UR</vt:lpstr>
      <vt:lpstr>SUMMARY</vt:lpstr>
      <vt:lpstr>Summary_BESS</vt:lpstr>
      <vt:lpstr>Summary_green_H2</vt:lpstr>
      <vt:lpstr>Summary_Solar</vt:lpstr>
      <vt:lpstr>Summary_wind</vt:lpstr>
      <vt:lpstr>Surface_cover_list</vt:lpstr>
      <vt:lpstr>Tank_base_type</vt:lpstr>
      <vt:lpstr>Tank_cladding_type</vt:lpstr>
      <vt:lpstr>Tank_concrete_ring_L</vt:lpstr>
      <vt:lpstr>Tank_hopper_L</vt:lpstr>
      <vt:lpstr>Tank_hor_frac_L</vt:lpstr>
      <vt:lpstr>Tank_horizontal_L</vt:lpstr>
      <vt:lpstr>Tank_liner_type</vt:lpstr>
      <vt:lpstr>Tank_panel_L</vt:lpstr>
      <vt:lpstr>Tank_rail_loading_bin_L</vt:lpstr>
      <vt:lpstr>Tank_rainwater_L</vt:lpstr>
      <vt:lpstr>Tank_silo_L</vt:lpstr>
      <vt:lpstr>Tank_skin_type</vt:lpstr>
      <vt:lpstr>Tank_thickening_L</vt:lpstr>
      <vt:lpstr>Tank_top_type</vt:lpstr>
      <vt:lpstr>Tank_type</vt:lpstr>
      <vt:lpstr>Tank_vertical_L</vt:lpstr>
      <vt:lpstr>Tank_wall_type</vt:lpstr>
      <vt:lpstr>Tanker_capacity</vt:lpstr>
      <vt:lpstr>Tanker_liquids_pump_flowrate_oil</vt:lpstr>
      <vt:lpstr>Tanker_liquids_pump_flowrate_water</vt:lpstr>
      <vt:lpstr>Thickening_tank_steel_thickness</vt:lpstr>
      <vt:lpstr>Top_soil</vt:lpstr>
      <vt:lpstr>Top_soil_rate</vt:lpstr>
      <vt:lpstr>Towers_haul_unload_distance_avg</vt:lpstr>
      <vt:lpstr>Towers_haul_unload_names_UR</vt:lpstr>
      <vt:lpstr>Towers_haul_unload_rates_UR</vt:lpstr>
      <vt:lpstr>Towers_per_truck</vt:lpstr>
      <vt:lpstr>Tracks_roads_width_names_Ass</vt:lpstr>
      <vt:lpstr>Tracks_roads_widths_Ass</vt:lpstr>
      <vt:lpstr>Trees_mature</vt:lpstr>
      <vt:lpstr>Trees_mature_rate</vt:lpstr>
      <vt:lpstr>Truck_740C</vt:lpstr>
      <vt:lpstr>Truck_740C_rate</vt:lpstr>
      <vt:lpstr>Truck_flatbed</vt:lpstr>
      <vt:lpstr>Truck_flatbed_rate</vt:lpstr>
      <vt:lpstr>Truck_Haul_Speed_Loaded</vt:lpstr>
      <vt:lpstr>Truck_Haul_Speed_Unloaded</vt:lpstr>
      <vt:lpstr>Truck_module_transport</vt:lpstr>
      <vt:lpstr>Truck_module_transport_rate</vt:lpstr>
      <vt:lpstr>Truck_semi_tipper</vt:lpstr>
      <vt:lpstr>Truck_semi_tipper_rate</vt:lpstr>
      <vt:lpstr>Truck_travel_speed_on_site_loaded</vt:lpstr>
      <vt:lpstr>Truck_travel_speed_on_site_unloaded</vt:lpstr>
      <vt:lpstr>Truck_vacuum_tanker</vt:lpstr>
      <vt:lpstr>Truck_vacuum_tanker_rate</vt:lpstr>
      <vt:lpstr>Truck_water_load</vt:lpstr>
      <vt:lpstr>Truck_water_tanker_19kL</vt:lpstr>
      <vt:lpstr>Truck_water_tanker_19kL_rate</vt:lpstr>
      <vt:lpstr>Truck_with_crane</vt:lpstr>
      <vt:lpstr>Truck_with_crane_rate</vt:lpstr>
      <vt:lpstr>Tube_stock</vt:lpstr>
      <vt:lpstr>Tube_stock_rate</vt:lpstr>
      <vt:lpstr>Turbine_aluminium</vt:lpstr>
      <vt:lpstr>Turbine_blade_length</vt:lpstr>
      <vt:lpstr>Turbine_blade_mass</vt:lpstr>
      <vt:lpstr>Turbine_bolts</vt:lpstr>
      <vt:lpstr>Turbine_copper</vt:lpstr>
      <vt:lpstr>Turbine_foundation_area</vt:lpstr>
      <vt:lpstr>Turbine_foundation_mass</vt:lpstr>
      <vt:lpstr>Turbine_foundation_thicknes_to_demolish</vt:lpstr>
      <vt:lpstr>Turbine_foundation_thickness</vt:lpstr>
      <vt:lpstr>Turbine_foundation_volume</vt:lpstr>
      <vt:lpstr>Turbine_gearbox_oil_volume</vt:lpstr>
      <vt:lpstr>Turbine_mass</vt:lpstr>
      <vt:lpstr>Turbine_models</vt:lpstr>
      <vt:lpstr>Turbine_nacelle_mass</vt:lpstr>
      <vt:lpstr>Turbine_steel_iron</vt:lpstr>
      <vt:lpstr>Turbine_tower_height</vt:lpstr>
      <vt:lpstr>Turbine_tower_mass</vt:lpstr>
      <vt:lpstr>Turbine_tower_section_length</vt:lpstr>
      <vt:lpstr>Turbines</vt:lpstr>
      <vt:lpstr>USER_GUIDE</vt:lpstr>
      <vt:lpstr>Vehicle_Hire</vt:lpstr>
      <vt:lpstr>Vehicle_Hire_rate</vt:lpstr>
      <vt:lpstr>Waste_levy_Metropolitan_Solid_Waste</vt:lpstr>
      <vt:lpstr>Waste_levy_Metropolitan_Solid_Waste_rate</vt:lpstr>
      <vt:lpstr>Waste_levy_names</vt:lpstr>
      <vt:lpstr>Waste_levy_Non_Metropolitan_Solid_Waste</vt:lpstr>
      <vt:lpstr>Waste_levy_Non_Metropolitan_Solid_Waste_rate</vt:lpstr>
      <vt:lpstr>Waste_levy_rates</vt:lpstr>
      <vt:lpstr>Water</vt:lpstr>
      <vt:lpstr>Water_demand_greenH2</vt:lpstr>
      <vt:lpstr>Water_rate</vt:lpstr>
      <vt:lpstr>Winch_for_cables</vt:lpstr>
      <vt:lpstr>Winch_for_cables_rate</vt:lpstr>
      <vt:lpstr>WIND</vt:lpstr>
      <vt:lpstr>Wind_turbine_tools</vt:lpstr>
      <vt:lpstr>Wind_turbine_tools_rate</vt:lpstr>
      <vt:lpstr>Work_Platform</vt:lpstr>
      <vt:lpstr>Work_Platform_rate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Keira Gopsill</dc:creator>
  <cp:keywords/>
  <dc:description/>
  <cp:lastModifiedBy>Kevin Simpson</cp:lastModifiedBy>
  <cp:revision/>
  <dcterms:created xsi:type="dcterms:W3CDTF">2025-07-08T00:32:05Z</dcterms:created>
  <dcterms:modified xsi:type="dcterms:W3CDTF">2026-05-22T06:24:21Z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0x01010036A7B888FF612542A8FC6C9737B78FD6</vt:lpwstr>
  </property>
  <property fmtid="{D5CDD505-2E9C-101B-9397-08002B2CF9AE}" pid="4" name="_dlc_DocIdItemGuid">
    <vt:lpwstr>ba273a88-8384-480c-89c4-9274b4e3b0b5</vt:lpwstr>
  </property>
</Properties>
</file>